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Executive Summary" sheetId="2" state="visible" r:id="rId4"/>
    <sheet name="Income Statement" sheetId="3" state="visible" r:id="rId5"/>
    <sheet name="Balance Sheet" sheetId="4" state="visible" r:id="rId6"/>
    <sheet name="Cash Flow Statement" sheetId="5" state="visible" r:id="rId7"/>
    <sheet name="PP&amp;E Schedule" sheetId="6" state="visible" r:id="rId8"/>
    <sheet name="Scenario Analysis" sheetId="7" state="visible" r:id="rId9"/>
    <sheet name="DCF Valuation" sheetId="8" state="visible" r:id="rId10"/>
    <sheet name="Sources &amp; Methodology"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<sst xmlns="http://schemas.openxmlformats.org/spreadsheetml/2006/main" count="417" uniqueCount="316">
  <si>
    <t xml:space="preserve">Microsoft Corporation (NASDAQ: MSFT)</t>
  </si>
  <si>
    <t xml:space="preserve">Integrated 3-Statement Financial Model</t>
  </si>
  <si>
    <t xml:space="preserve">Historical Analysis (FY2019-FY2024) • 5-Year Forecast (FY2025-FY2029) • Scenario Analysis • DCF Valuation</t>
  </si>
  <si>
    <t xml:space="preserve">Portfolio project — prepared for demonstration purposes. Not investment advice.</t>
  </si>
  <si>
    <t xml:space="preserve">Workbook Contents</t>
  </si>
  <si>
    <t xml:space="preserve">Cover</t>
  </si>
  <si>
    <t xml:space="preserve">This page.</t>
  </si>
  <si>
    <t xml:space="preserve">Executive Summary</t>
  </si>
  <si>
    <t xml:space="preserve">Key metrics (FY2019-FY2029) and charts: revenue growth, EBITDA margin, free cash flow, revenue by segment.</t>
  </si>
  <si>
    <t xml:space="preserve">Income Statement</t>
  </si>
  <si>
    <t xml:space="preserve">Revenue by segment, cost of revenue, operating expenses, EBITDA, net income; forecast assumptions block.</t>
  </si>
  <si>
    <t xml:space="preserve">Balance Sheet</t>
  </si>
  <si>
    <t xml:space="preserve">Full balance sheet with Balance Sheet Check (=0 in every year, historical and forecast, all three scenarios).</t>
  </si>
  <si>
    <t xml:space="preserve">Cash Flow Statement</t>
  </si>
  <si>
    <t xml:space="preserve">Operating / investing / financing activities; ending cash ties to the Balance Sheet.</t>
  </si>
  <si>
    <t xml:space="preserve">PP&amp;E Schedule</t>
  </si>
  <si>
    <t xml:space="preserve">Beginning + Capex - D&amp;A = Ending PP&amp;E roll-forward, with a historical reconciliation to reported balances.</t>
  </si>
  <si>
    <t xml:space="preserve">Scenario Analysis</t>
  </si>
  <si>
    <t xml:space="preserve">Bear / Base / Bull forecast drivers and the active-scenario selector that feeds all three statements.</t>
  </si>
  <si>
    <t xml:space="preserve">DCF Valuation</t>
  </si>
  <si>
    <t xml:space="preserve">Unlevered FCF build, WACC, terminal value, implied enterprise/equity value per share, and a sensitivity table.</t>
  </si>
  <si>
    <t xml:space="preserve">Sources &amp; Methodology</t>
  </si>
  <si>
    <t xml:space="preserve">Data sources, forecast methodology, key assumptions, and a summary of changes from the original template.</t>
  </si>
  <si>
    <t xml:space="preserve">How to Use This Model</t>
  </si>
  <si>
    <t xml:space="preserve">1) Set the Active Scenario on the 'Scenario Analysis' tab (cell C3: Bear / Base / Bull) to flow a different growth/margin case through the Income Statement, Balance Sheet, Cash Flow Statement, PP&amp;E Schedule, and DCF Valuation.</t>
  </si>
  <si>
    <t xml:space="preserve">2) Check the Balance Sheet Check row on the 'Balance Sheet' tab — it should read 0 for every year under every scenario.</t>
  </si>
  <si>
    <t xml:space="preserve">3) Color convention: blue = hardcoded input / actual reported figure; black = formula computed on this sheet; green = link to another sheet.</t>
  </si>
  <si>
    <t xml:space="preserve">4) All dollar figures are in $ millions except per-share data, which is in whole dollars.</t>
  </si>
  <si>
    <t xml:space="preserve">Color &amp; Data Notes</t>
  </si>
  <si>
    <t xml:space="preserve">FY2019-FY2024 ("Actual") columns are Microsoft's own reported GAAP results — see the 'Sources &amp; Methodology' tab for exact citations. FY2025-FY2029 ("Forecast") columns are entirely formula-driven from the assumptions on the 'Scenario Analysis' tab; no forecast output cell is hardcoded.</t>
  </si>
  <si>
    <t xml:space="preserve">Executive Summary — Integrated 3-Statement Financial Model</t>
  </si>
  <si>
    <t xml:space="preserve">Portfolio project: historical analysis (FY2019-FY2024, actual reported results) + 5-year forecast (FY2025-FY2029) + DCF valuation</t>
  </si>
  <si>
    <t xml:space="preserve">Actual</t>
  </si>
  <si>
    <t xml:space="preserve">Forecast</t>
  </si>
  <si>
    <t xml:space="preserve">Revenue</t>
  </si>
  <si>
    <t xml:space="preserve">Revenue Growth %</t>
  </si>
  <si>
    <t xml:space="preserve">Gross Margin %</t>
  </si>
  <si>
    <t xml:space="preserve">Operating Margin %</t>
  </si>
  <si>
    <t xml:space="preserve">EBITDA</t>
  </si>
  <si>
    <t xml:space="preserve">EBITDA Margin %</t>
  </si>
  <si>
    <t xml:space="preserve">Net Income</t>
  </si>
  <si>
    <t xml:space="preserve">Free Cash Flow (CFO - Capex)</t>
  </si>
  <si>
    <t xml:space="preserve">Capital Expenditures</t>
  </si>
  <si>
    <t xml:space="preserve">Cash &amp; Short-Term Investments</t>
  </si>
  <si>
    <t xml:space="preserve">Total Debt</t>
  </si>
  <si>
    <t xml:space="preserve">KEY VALUATION OUTPUT (DCF — Base Case)</t>
  </si>
  <si>
    <t xml:space="preserve">Implied DCF Enterprise Value ($M)</t>
  </si>
  <si>
    <t xml:space="preserve">Implied DCF Value Per Share</t>
  </si>
  <si>
    <t xml:space="preserve">WACC</t>
  </si>
  <si>
    <t xml:space="preserve">Revenue by Segment — FY2024 (Actual)</t>
  </si>
  <si>
    <t xml:space="preserve">Productivity and Business Processes</t>
  </si>
  <si>
    <t xml:space="preserve">Intelligent Cloud</t>
  </si>
  <si>
    <t xml:space="preserve">More Personal Computing</t>
  </si>
  <si>
    <t xml:space="preserve">Integrated 3-Statement Financial Model — Portfolio Project ($ in millions, except per-share data)</t>
  </si>
  <si>
    <t xml:space="preserve">Revenue by Segment</t>
  </si>
  <si>
    <t xml:space="preserve">Source: Microsoft FY2024 10-K / earnings release segment revenue disclosure (see Sources &amp; Methodology)</t>
  </si>
  <si>
    <t xml:space="preserve">Total Revenue</t>
  </si>
  <si>
    <t xml:space="preserve">Total Revenue Growth %</t>
  </si>
  <si>
    <t xml:space="preserve">Cost of Revenue</t>
  </si>
  <si>
    <t xml:space="preserve">Product</t>
  </si>
  <si>
    <t xml:space="preserve">n/a — forecast COGS modeled on a blended basis (row 51)</t>
  </si>
  <si>
    <t xml:space="preserve">Source: Microsoft FY2024 10-K / earnings release income statement (Product / Service and other cost of revenue)</t>
  </si>
  <si>
    <t xml:space="preserve">Service and Other</t>
  </si>
  <si>
    <t xml:space="preserve">Total Cost of Revenue</t>
  </si>
  <si>
    <t xml:space="preserve">Cost of Revenue % of Total Revenue</t>
  </si>
  <si>
    <t xml:space="preserve">Gross Profit</t>
  </si>
  <si>
    <t xml:space="preserve">Operating Expenses</t>
  </si>
  <si>
    <t xml:space="preserve">Research &amp; Development</t>
  </si>
  <si>
    <t xml:space="preserve">Source: Microsoft FY2024 10-K / earnings release income statement</t>
  </si>
  <si>
    <t xml:space="preserve">Sales &amp; Marketing</t>
  </si>
  <si>
    <t xml:space="preserve">General &amp; Administrative</t>
  </si>
  <si>
    <t xml:space="preserve">Total Operating Expenses</t>
  </si>
  <si>
    <t xml:space="preserve">Operating Income (EBIT)</t>
  </si>
  <si>
    <t xml:space="preserve">Other Income (Expense), net</t>
  </si>
  <si>
    <t xml:space="preserve">Source: Microsoft FY2024 10-K / earnings release income statement (Other income (expense), net)</t>
  </si>
  <si>
    <t xml:space="preserve">Income Before Income Taxes</t>
  </si>
  <si>
    <t xml:space="preserve">Provision for Income Taxes</t>
  </si>
  <si>
    <t xml:space="preserve">Effective Tax Rate %</t>
  </si>
  <si>
    <t xml:space="preserve">Net Income Margin %</t>
  </si>
  <si>
    <t xml:space="preserve">Diluted Weighted Avg. Shares Outstanding</t>
  </si>
  <si>
    <t xml:space="preserve">Diluted Earnings Per Share</t>
  </si>
  <si>
    <t xml:space="preserve">Depreciation &amp; Amortization</t>
  </si>
  <si>
    <t xml:space="preserve">FORECAST ASSUMPTIONS  (Active Scenario pulled from 'Scenario Analysis' tab)</t>
  </si>
  <si>
    <t xml:space="preserve">PBP Revenue Growth %</t>
  </si>
  <si>
    <t xml:space="preserve">IC Revenue Growth %</t>
  </si>
  <si>
    <t xml:space="preserve">MPC Revenue Growth %</t>
  </si>
  <si>
    <t xml:space="preserve">Total Cost of Revenue % of Revenue</t>
  </si>
  <si>
    <t xml:space="preserve">R&amp;D % of Revenue</t>
  </si>
  <si>
    <t xml:space="preserve">S&amp;M % of Revenue</t>
  </si>
  <si>
    <t xml:space="preserve">G&amp;A % of Revenue</t>
  </si>
  <si>
    <t xml:space="preserve">Other Income (Expense), $M</t>
  </si>
  <si>
    <t xml:space="preserve">Assets</t>
  </si>
  <si>
    <t xml:space="preserve">Current Assets</t>
  </si>
  <si>
    <t xml:space="preserve">Cash and Cash Equivalents</t>
  </si>
  <si>
    <t xml:space="preserve">FY2019-FY2024 actual: Microsoft Investor Relations condensed consolidated balance sheets (see Sources &amp; Methodology)</t>
  </si>
  <si>
    <t xml:space="preserve">Short-Term Investments</t>
  </si>
  <si>
    <t xml:space="preserve">Accounts Receivable, net</t>
  </si>
  <si>
    <t xml:space="preserve">Inventories</t>
  </si>
  <si>
    <t xml:space="preserve">Other Current Assets</t>
  </si>
  <si>
    <t xml:space="preserve">Total Current Assets</t>
  </si>
  <si>
    <t xml:space="preserve">Non-Current Assets</t>
  </si>
  <si>
    <t xml:space="preserve">Property and Equipment, net</t>
  </si>
  <si>
    <t xml:space="preserve">Operating Lease Right-of-Use Assets</t>
  </si>
  <si>
    <t xml:space="preserve">Equity and Other Investments</t>
  </si>
  <si>
    <t xml:space="preserve">Goodwill</t>
  </si>
  <si>
    <t xml:space="preserve">Forecast: no further acquisitions assumed (goodwill held flat) — a simplifying, clearly-labeled forecast assumption</t>
  </si>
  <si>
    <t xml:space="preserve">Intangible Assets, net</t>
  </si>
  <si>
    <t xml:space="preserve">Other Long-Term Assets</t>
  </si>
  <si>
    <t xml:space="preserve">Total Non-Current Assets</t>
  </si>
  <si>
    <t xml:space="preserve">Total Assets</t>
  </si>
  <si>
    <t xml:space="preserve">Current Liabilities</t>
  </si>
  <si>
    <t xml:space="preserve">Accounts Payable</t>
  </si>
  <si>
    <t xml:space="preserve">Short-Term Debt</t>
  </si>
  <si>
    <t xml:space="preserve">Current Portion of Long-Term Debt</t>
  </si>
  <si>
    <t xml:space="preserve">Accrued Compensation</t>
  </si>
  <si>
    <t xml:space="preserve">Short-Term Income Taxes</t>
  </si>
  <si>
    <t xml:space="preserve">Short-Term Unearned Revenue</t>
  </si>
  <si>
    <t xml:space="preserve">Other Current Liabilities</t>
  </si>
  <si>
    <t xml:space="preserve">Total Current Liabilities</t>
  </si>
  <si>
    <t xml:space="preserve">Non-Current Liabilities</t>
  </si>
  <si>
    <t xml:space="preserve">Long-Term Debt</t>
  </si>
  <si>
    <t xml:space="preserve">Long-Term Income Taxes</t>
  </si>
  <si>
    <t xml:space="preserve">Long-Term Unearned Revenue</t>
  </si>
  <si>
    <t xml:space="preserve">Deferred Income Taxes</t>
  </si>
  <si>
    <t xml:space="preserve">Operating Lease Liabilities</t>
  </si>
  <si>
    <t xml:space="preserve">Other Long-Term Liabilities</t>
  </si>
  <si>
    <t xml:space="preserve">Total Non-Current Liabilities</t>
  </si>
  <si>
    <t xml:space="preserve">Total Liabilities</t>
  </si>
  <si>
    <t xml:space="preserve">Stockholders' Equity</t>
  </si>
  <si>
    <t xml:space="preserve">Common Stock and Paid-in Capital</t>
  </si>
  <si>
    <t xml:space="preserve">Forecast roll-forward: prior balance + stock-based compensation + stock issued - stock repurchased (from Cash Flow Statement)</t>
  </si>
  <si>
    <t xml:space="preserve">Retained Earnings</t>
  </si>
  <si>
    <t xml:space="preserve">Forecast roll-forward: prior balance + Net Income - dividends paid (from Income Statement / Cash Flow Statement)</t>
  </si>
  <si>
    <t xml:space="preserve">Accumulated Other Comprehensive Income (Loss)</t>
  </si>
  <si>
    <t xml:space="preserve">Total Stockholders' Equity</t>
  </si>
  <si>
    <t xml:space="preserve">Total Liabilities and Stockholders' Equity</t>
  </si>
  <si>
    <t xml:space="preserve">Balance Sheet Check (must = 0)</t>
  </si>
  <si>
    <t xml:space="preserve">FORECAST ASSUMPTIONS  (working-capital &amp; balance-sheet ratios, anchored to FY2024 actual; see Sources &amp; Methodology)</t>
  </si>
  <si>
    <t xml:space="preserve">Short-Term Investments % of Revenue</t>
  </si>
  <si>
    <t xml:space="preserve">Accounts Receivable % of Revenue</t>
  </si>
  <si>
    <t xml:space="preserve">Inventory % of Total Cost of Revenue</t>
  </si>
  <si>
    <t xml:space="preserve">Other Current Assets % of Revenue</t>
  </si>
  <si>
    <t xml:space="preserve">Op. Lease ROU Assets % of Revenue</t>
  </si>
  <si>
    <t xml:space="preserve">Equity &amp; Other Investments % of Revenue</t>
  </si>
  <si>
    <t xml:space="preserve">Other Long-Term Assets % of Revenue</t>
  </si>
  <si>
    <t xml:space="preserve">Accounts Payable % of Total Cost of Revenue</t>
  </si>
  <si>
    <t xml:space="preserve">Accrued Compensation % of Revenue</t>
  </si>
  <si>
    <t xml:space="preserve">Short-Term Income Taxes % of Tax Provision</t>
  </si>
  <si>
    <t xml:space="preserve">Short-Term Unearned Revenue % of Revenue</t>
  </si>
  <si>
    <t xml:space="preserve">Other Current Liabilities % of Revenue</t>
  </si>
  <si>
    <t xml:space="preserve">Long-Term Unearned Revenue % of Revenue</t>
  </si>
  <si>
    <t xml:space="preserve">Operating Lease Liabilities % of Revenue</t>
  </si>
  <si>
    <t xml:space="preserve">Other Long-Term Liabilities % of Revenue</t>
  </si>
  <si>
    <t xml:space="preserve">Operating Activities</t>
  </si>
  <si>
    <t xml:space="preserve">FY2019-FY2024 actual: Microsoft Investor Relations condensed consolidated statements of cash flows (see Sources &amp; Methodology)</t>
  </si>
  <si>
    <t xml:space="preserve">Plus: Depreciation &amp; Amortization</t>
  </si>
  <si>
    <t xml:space="preserve">Plus: Stock-Based Compensation Expense</t>
  </si>
  <si>
    <t xml:space="preserve">Net Recognized (Gains) Losses on Investments</t>
  </si>
  <si>
    <t xml:space="preserve">Changes in Working Capital</t>
  </si>
  <si>
    <t xml:space="preserve">(Increase) Decrease in Accounts Receivable</t>
  </si>
  <si>
    <t xml:space="preserve">(Increase) Decrease in Inventories</t>
  </si>
  <si>
    <t xml:space="preserve">(Increase) Decrease in Other Current Assets</t>
  </si>
  <si>
    <t xml:space="preserve">(Increase) Decrease in Other LT Assets (incl. ROU &amp; equity invest.)</t>
  </si>
  <si>
    <t xml:space="preserve">Increase (Decrease) in Accounts Payable</t>
  </si>
  <si>
    <t xml:space="preserve">Increase (Decrease) in Unearned Revenue</t>
  </si>
  <si>
    <t xml:space="preserve">Increase (Decrease) in Income Taxes</t>
  </si>
  <si>
    <t xml:space="preserve">Increase (Decrease) in Other Current Liab. (incl. accrued comp.)</t>
  </si>
  <si>
    <t xml:space="preserve">Increase (Decrease) in Other LT Liab. (incl. lease liab.)</t>
  </si>
  <si>
    <t xml:space="preserve">Total Change in Working Capital</t>
  </si>
  <si>
    <t xml:space="preserve">Cash from Operating Activities</t>
  </si>
  <si>
    <t xml:space="preserve">Investing Activities</t>
  </si>
  <si>
    <t xml:space="preserve">Additions to Property and Equipment (Capex)</t>
  </si>
  <si>
    <t xml:space="preserve">Acquisitions of Companies, Net of Cash Acquired</t>
  </si>
  <si>
    <t xml:space="preserve">Forecast: no further acquisitions assumed — a simplifying, clearly-labeled forecast assumption</t>
  </si>
  <si>
    <t xml:space="preserve">Purchases of Investments</t>
  </si>
  <si>
    <t xml:space="preserve">Maturities of Investments</t>
  </si>
  <si>
    <t xml:space="preserve">Sales of Investments</t>
  </si>
  <si>
    <t xml:space="preserve">Net Change in Investments (forecast only)</t>
  </si>
  <si>
    <t xml:space="preserve">Other Investing Activities</t>
  </si>
  <si>
    <t xml:space="preserve">Cash from Investing Activities</t>
  </si>
  <si>
    <t xml:space="preserve">Financing Activities</t>
  </si>
  <si>
    <t xml:space="preserve">Net Proceeds (Repayments) of Debt</t>
  </si>
  <si>
    <t xml:space="preserve">Forecast: net debt issuance/repayment derived from the Balance Sheet debt roll-forward (debt balances held flat by assumption)</t>
  </si>
  <si>
    <t xml:space="preserve">Common Stock Issued</t>
  </si>
  <si>
    <t xml:space="preserve">Common Stock Repurchased</t>
  </si>
  <si>
    <t xml:space="preserve">Common Stock Dividends Paid</t>
  </si>
  <si>
    <t xml:space="preserve">Other Financing Activities</t>
  </si>
  <si>
    <t xml:space="preserve">Cash from Financing Activities</t>
  </si>
  <si>
    <t xml:space="preserve">Effect of Foreign Exchange Rates on Cash</t>
  </si>
  <si>
    <t xml:space="preserve">Net Change in Cash</t>
  </si>
  <si>
    <t xml:space="preserve">Beginning Cash Balance</t>
  </si>
  <si>
    <t xml:space="preserve">Ending Cash Balance</t>
  </si>
  <si>
    <t xml:space="preserve">Property, Plant &amp; Equipment / Capital Expenditure Schedule</t>
  </si>
  <si>
    <t xml:space="preserve">Beginning PP&amp;E, net</t>
  </si>
  <si>
    <t xml:space="preserve">FY2019 beginning balance = Microsoft's reported PP&amp;E, net as of June 30, 2018 ($29,460M; FY2019 10-K prior-year comparative)</t>
  </si>
  <si>
    <t xml:space="preserve">Plus: Capital Expenditures</t>
  </si>
  <si>
    <t xml:space="preserve">Less: Depreciation &amp; Amortization</t>
  </si>
  <si>
    <t xml:space="preserve">Ending PP&amp;E, net (Schedule)</t>
  </si>
  <si>
    <t xml:space="preserve">Ending PP&amp;E, net (As Reported on Balance Sheet)</t>
  </si>
  <si>
    <t xml:space="preserve">Reconciling Other (FX translation, disposals, acquired PP&amp;E,</t>
  </si>
  <si>
    <t xml:space="preserve">Microsoft's condensed cash-flow statement combines PP&amp;E depreciation with intangible amortization and other non-cash items into a</t>
  </si>
  <si>
    <t xml:space="preserve">  finance leases &amp; non-cash items not separately disclosed)</t>
  </si>
  <si>
    <t xml:space="preserve">single 'Depreciation, amortization, and other' line, and capex/depreciation are not the only drivers of the reported PP&amp;E balance</t>
  </si>
  <si>
    <t xml:space="preserve">(acquisitions, finance leases, FX and disposals also affect it). This reconciling line makes that gap explicit for historical years</t>
  </si>
  <si>
    <t xml:space="preserve">rather than silently forcing the schedule to tie to the reported balance. The Balance Sheet uses the As-Reported figure for</t>
  </si>
  <si>
    <t xml:space="preserve">FY2019-FY2024 (hardcoded actual) and the Schedule figure for the FY2025-FY2029 forecast (fully formula-driven).</t>
  </si>
  <si>
    <t xml:space="preserve">Scenario Analysis — Bear / Base / Bull</t>
  </si>
  <si>
    <t xml:space="preserve">Base case is computed from FY2019-FY2024 actuals; Bear/Bull apply a documented spread (see Notes). Drivers apply flat across FY2025-FY2029.</t>
  </si>
  <si>
    <t xml:space="preserve">Active Scenario:</t>
  </si>
  <si>
    <t xml:space="preserve">Base</t>
  </si>
  <si>
    <t xml:space="preserve">Scenario Index:</t>
  </si>
  <si>
    <t xml:space="preserve">Forecast Driver (FY2025-FY2029, flat)</t>
  </si>
  <si>
    <t xml:space="preserve">Bear</t>
  </si>
  <si>
    <t xml:space="preserve">Bull</t>
  </si>
  <si>
    <t xml:space="preserve">Active</t>
  </si>
  <si>
    <t xml:space="preserve">Notes</t>
  </si>
  <si>
    <t xml:space="preserve">Productivity &amp; Business Processes Rev. Growth %</t>
  </si>
  <si>
    <t xml:space="preserve">Base = FY2021-FY2024 (3-yr) segment CAGR from actual reported revenue. Bear/Bull: -4.0 / +4.0 percentage points.</t>
  </si>
  <si>
    <t xml:space="preserve">Intelligent Cloud Rev. Growth %</t>
  </si>
  <si>
    <t xml:space="preserve">Base = FY2021-FY2024 (3-yr) segment CAGR from actual reported revenue. Bear/Bull: -6.0 / +6.0 pts (higher spread: cloud/AI demand is the swing factor).</t>
  </si>
  <si>
    <t xml:space="preserve">More Personal Computing Rev. Growth %</t>
  </si>
  <si>
    <t xml:space="preserve">Base = FY2024 actual ratio. Bear: +2.0 pts (margin compression); Bull: -2.0 pts (operating leverage / mix shift to higher-margin cloud).</t>
  </si>
  <si>
    <t xml:space="preserve">Base = FY2024 actual ratio. Bear/Bull: +1.0 / -1.0 percentage points.</t>
  </si>
  <si>
    <t xml:space="preserve">Base = FY2024 actual ratio. Bear/Bull: +0.5 / -0.5 percentage points.</t>
  </si>
  <si>
    <t xml:space="preserve">Base = FY2024 actual effective tax rate. Bear/Bull: +2.0 / -2.0 percentage points (regulatory/geographic mix risk).</t>
  </si>
  <si>
    <t xml:space="preserve">Capital Expenditures % of Revenue</t>
  </si>
  <si>
    <t xml:space="preserve">Base = FY2024 actual ratio (elevated for AI/datacenter buildout). Bear: +2.0 pts (spend stays elevated, pressuring FCF); Bull: -2.0 pts (capex discipline).</t>
  </si>
  <si>
    <t xml:space="preserve">Depreciation &amp; Amortization % of Revenue</t>
  </si>
  <si>
    <t xml:space="preserve">Base = FY2024 actual ratio. Bear/Bull: +1.0 / -1.0 percentage points (scales loosely with the capex assumption above).</t>
  </si>
  <si>
    <t xml:space="preserve">Stock-Based Compensation % of Revenue</t>
  </si>
  <si>
    <t xml:space="preserve">Dividend Payout Ratio (% of Net Income)</t>
  </si>
  <si>
    <t xml:space="preserve">Base = FY2024 actual payout ratio. Held equal across scenarios — dividend policy assumed unchanged by the operating scenario.</t>
  </si>
  <si>
    <t xml:space="preserve">Share Repurchases (% of Net Income)</t>
  </si>
  <si>
    <t xml:space="preserve">Base = FY2024 actual ratio. Bear: -5.0 pts (capital returns scaled back); Bull: +5.0 pts (more capacity for buybacks).</t>
  </si>
  <si>
    <t xml:space="preserve">Common Stock Issued (% of Revenue)</t>
  </si>
  <si>
    <t xml:space="preserve">Base = FY2024 actual ratio (employee stock purchase / option exercise proceeds). Held equal across scenarios.</t>
  </si>
  <si>
    <t xml:space="preserve">Base = FY2024 actual (includes net investment gains/losses &amp; interest). Bear: -$1,000M; Bull: +$500M. Not a primary valuation driver.</t>
  </si>
  <si>
    <t xml:space="preserve">Discounted Cash Flow Valuation</t>
  </si>
  <si>
    <t xml:space="preserve">Year 1</t>
  </si>
  <si>
    <t xml:space="preserve">Year 2</t>
  </si>
  <si>
    <t xml:space="preserve">Year 3</t>
  </si>
  <si>
    <t xml:space="preserve">Year 4</t>
  </si>
  <si>
    <t xml:space="preserve">Year 5</t>
  </si>
  <si>
    <t xml:space="preserve">UNLEVERED FREE CASH FLOW BUILD  ($ in millions, active scenario from 'Scenario Analysis')</t>
  </si>
  <si>
    <t xml:space="preserve">Less: Taxes on EBIT</t>
  </si>
  <si>
    <t xml:space="preserve">NOPAT (Tax-Effected EBIT)</t>
  </si>
  <si>
    <t xml:space="preserve">Less: Capital Expenditures</t>
  </si>
  <si>
    <t xml:space="preserve">Less: Increase in Net Working Capital</t>
  </si>
  <si>
    <t xml:space="preserve">Unlevered Free Cash Flow</t>
  </si>
  <si>
    <t xml:space="preserve">WEIGHTED AVERAGE COST OF CAPITAL (WACC)</t>
  </si>
  <si>
    <t xml:space="preserve">Risk-Free Rate (10-Year U.S. Treasury Yield)</t>
  </si>
  <si>
    <t xml:space="preserve">10-Year U.S. Treasury yield, ~Sept 2026 (source: market data)</t>
  </si>
  <si>
    <t xml:space="preserve">Equity Risk Premium</t>
  </si>
  <si>
    <t xml:space="preserve">U.S. implied equity risk premium (source: Damodaran, NYU Stern, most recent published estimate, ~4.2-4.6%)</t>
  </si>
  <si>
    <t xml:space="preserve">Levered Beta</t>
  </si>
  <si>
    <t xml:space="preserve">MSFT levered beta (source: market data provider, ~Sept 2026)</t>
  </si>
  <si>
    <t xml:space="preserve">Cost of Equity (CAPM)</t>
  </si>
  <si>
    <t xml:space="preserve">Pre-Tax Cost of Debt</t>
  </si>
  <si>
    <t xml:space="preserve">Estimated: risk-free rate + a modest credit spread consistent with Microsoft's AAA/Aaa senior unsecured credit rating</t>
  </si>
  <si>
    <t xml:space="preserve">Effective Tax Rate</t>
  </si>
  <si>
    <t xml:space="preserve">After-Tax Cost of Debt</t>
  </si>
  <si>
    <t xml:space="preserve">Market Value of Equity ($M)</t>
  </si>
  <si>
    <t xml:space="preserve">Diluted shares outstanding (~7.43B, recent) x reference share price (source: market data, 2026-09-18)</t>
  </si>
  <si>
    <t xml:space="preserve">Total Debt ($M, FY2024 actual)</t>
  </si>
  <si>
    <t xml:space="preserve">Total Capital ($M)</t>
  </si>
  <si>
    <t xml:space="preserve">Weight of Equity</t>
  </si>
  <si>
    <t xml:space="preserve">Weight of Debt</t>
  </si>
  <si>
    <t xml:space="preserve">TERMINAL VALUE</t>
  </si>
  <si>
    <t xml:space="preserve">Terminal Growth Rate</t>
  </si>
  <si>
    <t xml:space="preserve">Long-run assumption approximating nominal U.S. GDP growth; a standard, conservative Gordon-growth terminal rate</t>
  </si>
  <si>
    <t xml:space="preserve">Terminal Value (Gordon Growth, end of FY2029)</t>
  </si>
  <si>
    <t xml:space="preserve">PRESENT VALUE &amp; IMPLIED VALUATION</t>
  </si>
  <si>
    <t xml:space="preserve">Discount Period</t>
  </si>
  <si>
    <t xml:space="preserve">Discount Factor</t>
  </si>
  <si>
    <t xml:space="preserve">PV of Unlevered Free Cash Flow</t>
  </si>
  <si>
    <t xml:space="preserve">Sum of PV of Forecast Free Cash Flow</t>
  </si>
  <si>
    <t xml:space="preserve">PV of Terminal Value</t>
  </si>
  <si>
    <t xml:space="preserve">Enterprise Value</t>
  </si>
  <si>
    <t xml:space="preserve">Less: Total Debt (FY2024 actual)</t>
  </si>
  <si>
    <t xml:space="preserve">Plus: Cash &amp; Short-Term Investments (FY2024 actual)</t>
  </si>
  <si>
    <t xml:space="preserve">Equity Value</t>
  </si>
  <si>
    <t xml:space="preserve">Diluted Shares Outstanding (FY2024, millions)</t>
  </si>
  <si>
    <t xml:space="preserve">Implied Value Per Share</t>
  </si>
  <si>
    <t xml:space="preserve">Current Share Price (reference)</t>
  </si>
  <si>
    <t xml:space="preserve">MSFT closing price $493.78 on 2026-09-18 (source: market data) — for reference/cross-check only, not a model input</t>
  </si>
  <si>
    <t xml:space="preserve">Implied Upside / (Downside) vs. Current Price</t>
  </si>
  <si>
    <t xml:space="preserve">SENSITIVITY: IMPLIED VALUE PER SHARE — WACC vs. TERMINAL GROWTH RATE</t>
  </si>
  <si>
    <t xml:space="preserve">WACC \ g</t>
  </si>
  <si>
    <t xml:space="preserve">1. Historical Financial Data Sources (FY2019-FY2024)</t>
  </si>
  <si>
    <t xml:space="preserve">All historical figures (Income Statement, Balance Sheet, Cash Flow Statement, and segment revenue) are Microsoft's own reported GAAP results, drawn from Microsoft's Investor Relations condensed consolidated financial statements (earnings releases accompanying each fiscal year's Form 10-K) at microsoft.com/en-us/investor/earnings. Microsoft's fiscal year ends June 30.</t>
  </si>
  <si>
    <t xml:space="preserve">Specific pages referenced:</t>
  </si>
  <si>
    <t xml:space="preserve">- FY2024 Q4 (year ended 6/30/2024): Income Statements, Balance Sheets, Cash Flows, and Segment Revenue pages at microsoft.com/en-us/investor/earnings/fy-2024-q4/</t>
  </si>
  <si>
    <t xml:space="preserve">- FY2023 Q4 (year ended 6/30/2023): Balance Sheets page at microsoft.com/en-us/investor/earnings/fy-2023-q4/balance-sheets</t>
  </si>
  <si>
    <t xml:space="preserve">- FY2022 Q4 (year ended 6/30/2022): Press release / condensed statements at microsoft.com/en-us/investor/earnings/fy-2022-q4/press-release-webcast</t>
  </si>
  <si>
    <t xml:space="preserve">- FY2021 Q4 (year ended 6/30/2021): Income Statements page and press release (balance sheet, cash flow) at microsoft.com/en-us/investor/earnings/fy-2021-q4/</t>
  </si>
  <si>
    <t xml:space="preserve">- FY2020 Q4 (year ended 6/30/2020): Press release / condensed statements at microsoft.com/en-us/Investor/earnings/FY-2020-Q4/press-release-webcast</t>
  </si>
  <si>
    <t xml:space="preserve">- FY2019 Q4 (year ended 6/30/2019): Press release / condensed statements at microsoft.com/en-us/Investor/earnings/FY-2019-Q4/press-release-webcast</t>
  </si>
  <si>
    <t xml:space="preserve">Each fiscal year's balance sheet and cash flow statement were cross-checked for internal consistency: Total Assets = Total Liabilities + Stockholders' Equity, and Cash Flow from Operating + Investing + Financing + FX = Net Change in Cash, tie out exactly to Microsoft's reported totals for all six historical years (see the Balance Sheet Check row, which equals zero in every column).</t>
  </si>
  <si>
    <t xml:space="preserve">2. Segment Revenue</t>
  </si>
  <si>
    <t xml:space="preserve">Revenue is shown by Microsoft's three reportable segments — Productivity and Business Processes, Intelligent Cloud, and More Personal Computing — as disclosed in each fiscal year's own earnings release. Microsoft periodically reclassifies certain revenue between segments (e.g., movements of LinkedIn, Enterprise Mobility + Security, or search-advertising revenue) and does not always restate every prior year to the newest definition. FY2019-FY2022 figures are as originally reported for that year; FY2023-FY2024 reflect the segment presentation used in the FY2024 earnings release. Every year's three segments sum exactly to that year's consolidated Total Revenue on the Income Statement; a multi-year segment trend may include minor discontinuities from these reclassifications, which is disclosed here rather than smoothed over.</t>
  </si>
  <si>
    <t xml:space="preserve">3. Forecast Methodology (FY2025-FY2029)</t>
  </si>
  <si>
    <t xml:space="preserve">The forecast preserves the original template's architecture: a 5-year forecast, assumption-driven formulas (no hardcoded forecast outputs), and a Balance Sheet Check that must equal zero. Forecast drivers live on the 'Scenario Analysis' tab and are picked up by all three statements through the Active Scenario selector (Bear / Base / Bull).</t>
  </si>
  <si>
    <t xml:space="preserve">Revenue: each segment is grown at a flat rate off its FY2021-FY2024 (3-year) historical CAGR (Base case).</t>
  </si>
  <si>
    <t xml:space="preserve">Margins &amp; operating expenses (Cost of Revenue, R&amp;D, S&amp;M, G&amp;A, effective tax rate): held at the FY2024 actual ratio to revenue (or to pre-tax income, for the tax rate) in the Base case, with Bear/Bull applying a documented spread.</t>
  </si>
  <si>
    <t xml:space="preserve">Working-capital balance-sheet lines (receivables, payables, deferred/unearned revenue, accrued liabilities, other current and long-term assets/liabilities): held at the FY2024 actual ratio to revenue or cost of revenue, applied consistently across all three scenarios (working-capital efficiency is not scenario-varied; only growth and margins are).</t>
  </si>
  <si>
    <t xml:space="preserve">Capital expenditures &amp; depreciation: modeled as a % of revenue on the 'PP&amp;E Schedule' tab (Base case anchored to the FY2024 actual ratio, which is materially elevated versus earlier years due to Microsoft's AI/datacenter buildout), then rolled into a Beginning + Capex - D&amp;A = Ending PP&amp;E schedule that feeds the Balance Sheet and Cash Flow Statement.</t>
  </si>
  <si>
    <t xml:space="preserve">Capital returns: dividends and share repurchases are modeled as a % of forecast Net Income (payout ratios anchored to FY2024 actual); the resulting cash flows roll forward Retained Earnings and Common Stock &amp; APIC on the Balance Sheet.</t>
  </si>
  <si>
    <t xml:space="preserve">Debt, goodwill, and intangible assets are held flat in the forecast (no further acquisitions, refinancing, or impairments are assumed) — a simplifying, explicitly labeled assumption appropriate for a base organic-growth forecast.</t>
  </si>
  <si>
    <t xml:space="preserve">4. Key Assumptions &amp; Their Basis</t>
  </si>
  <si>
    <t xml:space="preserve">See the 'Scenario Analysis' tab for the complete, cell-by-cell list of Bear / Base / Bull assumptions and their documented rationale (Notes column). Base-case values are formulas computed from FY2019-FY2024 actuals, not manually typed figures.</t>
  </si>
  <si>
    <t xml:space="preserve">5. PP&amp;E Schedule — A Note on the Historical Reconciling Item</t>
  </si>
  <si>
    <t xml:space="preserve">Microsoft's condensed cash-flow statement reports a single 'Depreciation, amortization, and other' line that combines PP&amp;E depreciation with intangible-asset amortization and other non-cash items; the components are not separately disclosed at the level of detail this schedule would need to tie out precisely to the reported ending PP&amp;E balance in every historical year (the reported balance also reflects acquisitions, finance leases, disposals, and FX translation). Rather than force a match, the 'PP&amp;E Schedule' tab shows both the schedule-implied ending balance (Beginning + Capex - D&amp;A) and the actual reported balance for FY2019-FY2024, with the difference shown explicitly on a 'Reconciling Other' line. The Balance Sheet itself always uses Microsoft's actual reported PP&amp;E for the historical years. The forecast (FY2025-FY2029) has no such gap: it is built entirely from the schedule and ties to the Balance Sheet exactly.</t>
  </si>
  <si>
    <t xml:space="preserve">6. DCF Valuation Methodology</t>
  </si>
  <si>
    <t xml:space="preserve">Unlevered free cash flow is built from forecast EBIT (tax-effected at the scenario's effective tax rate) plus D&amp;A, less capital expenditures and the increase in net working capital (current operating assets less current operating liabilities, excluding cash, short-term investments, short-term debt, and the current portion of long-term debt). WACC uses CAPM for the cost of equity (risk-free rate = ~5.0% 10-year U.S. Treasury yield; equity risk premium = ~4.5%, consistent with Prof. Aswath Damodaran's most recently published implied U.S. equity risk premium; levered beta = ~1.17, consistent with recently published third-party beta estimates for MSFT — see the 'DCF Valuation' tab notes for exact figures and as-of dates) and an estimated pre-tax cost of debt reflecting Microsoft's top-tier (AAA/Aaa-area) credit profile. Terminal value uses the Gordon Growth Model with a 3.0% terminal growth rate, approximating long-run nominal GDP growth — a deliberately conservative assumption relative to Microsoft's own recent growth. Enterprise value is bridged to equity value using FY2024 actual net debt (total debt less cash and short-term investments). A WACC x terminal-growth sensitivity table is provided. The current share price shown is a reference/cross-check only and is not used as a valuation input.</t>
  </si>
  <si>
    <t xml:space="preserve">7. Significant Modifications From the Original Template</t>
  </si>
  <si>
    <t xml:space="preserve">The uploaded workbook modeled a small fictional company (annual revenue on the order of a few million dollars) with roughly 15 line items per statement and a monthly, per-asset equipment depreciation schedule. Microsoft's actual GAAP financial statements use a materially different and larger set of reporting categories (segment revenue, product/service cost of revenue, operating leases, goodwill, multiple debt tranches, AOCI, etc.) that the original template had no rows for. Rather than force Microsoft's results into the fictional categories, the statement line items were rebuilt to match Microsoft's actual reported structure, while deliberately preserving the original template's overall architecture and conventions: the same tab order and roles (Income Statement / Balance Sheet / Cash Flow Statement / a capex-and-depreciation schedule), the same Actual (FY2019-FY2024) / Forecast (FY2025-FY2029) column layout, the same blue-input / black-formula / green-cross-sheet-link color convention, the same assumption-driven forecast logic (no hardcoded forecast outputs), and the same Balance Sheet Check mechanic. The original's monthly per-equipment capex schedule (fictional equipment IDs with no correspondence to Microsoft's actual asset base) was replaced with a standard Beginning/Capex/Depreciation/Ending PP&amp;E roll-forward, which is the structure the original brief itself asked for in Part 7. Four new tabs were added, as requested: 'Scenario Analysis', 'DCF Valuation', 'Executive Summary', and this 'Sources &amp; Methodology' tab. See the accompanying change log (provided in the chat response) for a line-by-line summary.</t>
  </si>
</sst>
</file>

<file path=xl/styles.xml><?xml version="1.0" encoding="utf-8"?>
<styleSheet xmlns="http://schemas.openxmlformats.org/spreadsheetml/2006/main">
  <numFmts count="11">
    <numFmt numFmtId="164" formatCode="General"/>
    <numFmt numFmtId="165" formatCode="0"/>
    <numFmt numFmtId="166" formatCode="\$#,##0;&quot;($&quot;#,##0\);\-"/>
    <numFmt numFmtId="167" formatCode="0.0%;\(0.0%\);\-"/>
    <numFmt numFmtId="168" formatCode="\$#,##0.00;&quot;($&quot;#,##0.00\);\-"/>
    <numFmt numFmtId="169" formatCode="0.0%"/>
    <numFmt numFmtId="170" formatCode="#,##0"/>
    <numFmt numFmtId="171" formatCode="#,##0;\(#,##0\);\-"/>
    <numFmt numFmtId="172" formatCode="#,##0.00;\(#,##0.00\);\-"/>
    <numFmt numFmtId="173" formatCode="0.00"/>
    <numFmt numFmtId="174" formatCode="0.000"/>
  </numFmts>
  <fonts count="42">
    <font>
      <sz val="11"/>
      <color theme="1"/>
      <name val="Calibri"/>
      <family val="2"/>
      <charset val="1"/>
    </font>
    <font>
      <sz val="10"/>
      <name val="Arial"/>
      <family val="0"/>
    </font>
    <font>
      <sz val="10"/>
      <name val="Arial"/>
      <family val="0"/>
    </font>
    <font>
      <sz val="10"/>
      <name val="Arial"/>
      <family val="0"/>
    </font>
    <font>
      <b val="true"/>
      <sz val="20"/>
      <color rgb="FF1F3864"/>
      <name val="Arial"/>
      <family val="0"/>
      <charset val="1"/>
    </font>
    <font>
      <b val="true"/>
      <sz val="14"/>
      <color rgb="FF000000"/>
      <name val="Arial"/>
      <family val="0"/>
      <charset val="1"/>
    </font>
    <font>
      <i val="true"/>
      <sz val="10"/>
      <color rgb="FF595959"/>
      <name val="Arial"/>
      <family val="0"/>
      <charset val="1"/>
    </font>
    <font>
      <i val="true"/>
      <sz val="9"/>
      <color rgb="FF808080"/>
      <name val="Arial"/>
      <family val="0"/>
      <charset val="1"/>
    </font>
    <font>
      <b val="true"/>
      <sz val="12"/>
      <color rgb="FF000000"/>
      <name val="Arial"/>
      <family val="0"/>
      <charset val="1"/>
    </font>
    <font>
      <b val="true"/>
      <sz val="10"/>
      <name val="Arial"/>
      <family val="0"/>
      <charset val="1"/>
    </font>
    <font>
      <sz val="10"/>
      <name val="Arial"/>
      <family val="0"/>
      <charset val="1"/>
    </font>
    <font>
      <sz val="10"/>
      <color rgb="FF000000"/>
      <name val="Arial"/>
      <family val="0"/>
      <charset val="1"/>
    </font>
    <font>
      <b val="true"/>
      <sz val="16"/>
      <color rgb="FF1F3864"/>
      <name val="Arial"/>
      <family val="0"/>
      <charset val="1"/>
    </font>
    <font>
      <i val="true"/>
      <sz val="9"/>
      <color rgb="FF595959"/>
      <name val="Arial"/>
      <family val="0"/>
      <charset val="1"/>
    </font>
    <font>
      <b val="true"/>
      <i val="true"/>
      <sz val="9"/>
      <color rgb="FF595959"/>
      <name val="Arial"/>
      <family val="0"/>
      <charset val="1"/>
    </font>
    <font>
      <b val="true"/>
      <i val="true"/>
      <sz val="9"/>
      <color rgb="FF7F6000"/>
      <name val="Arial"/>
      <family val="0"/>
      <charset val="1"/>
    </font>
    <font>
      <b val="true"/>
      <sz val="10"/>
      <color rgb="FFFFFFFF"/>
      <name val="Arial"/>
      <family val="0"/>
      <charset val="1"/>
    </font>
    <font>
      <b val="true"/>
      <sz val="10"/>
      <color rgb="FF000000"/>
      <name val="Arial"/>
      <family val="0"/>
      <charset val="1"/>
    </font>
    <font>
      <sz val="10"/>
      <color rgb="FF008000"/>
      <name val="Arial"/>
      <family val="0"/>
      <charset val="1"/>
    </font>
    <font>
      <b val="true"/>
      <sz val="10.5"/>
      <color rgb="FFFFFFFF"/>
      <name val="Arial"/>
      <family val="0"/>
      <charset val="1"/>
    </font>
    <font>
      <sz val="11"/>
      <color rgb="FF008000"/>
      <name val="Arial"/>
      <family val="0"/>
      <charset val="1"/>
    </font>
    <font>
      <b val="true"/>
      <sz val="11"/>
      <color rgb="FFC00000"/>
      <name val="Arial"/>
      <family val="0"/>
      <charset val="1"/>
    </font>
    <font>
      <b val="true"/>
      <sz val="18"/>
      <color rgb="FF000000"/>
      <name val="Calibri"/>
      <family val="2"/>
    </font>
    <font>
      <sz val="10"/>
      <color rgb="FF000000"/>
      <name val="Calibri"/>
      <family val="2"/>
    </font>
    <font>
      <b val="true"/>
      <sz val="14"/>
      <color rgb="FF1F3864"/>
      <name val="Arial"/>
      <family val="0"/>
      <charset val="1"/>
    </font>
    <font>
      <sz val="10"/>
      <color rgb="FF0000FF"/>
      <name val="Arial"/>
      <family val="0"/>
      <charset val="1"/>
    </font>
    <font>
      <i val="true"/>
      <sz val="8"/>
      <color rgb="FF808080"/>
      <name val="Arial"/>
      <family val="0"/>
      <charset val="1"/>
    </font>
    <font>
      <i val="true"/>
      <sz val="9"/>
      <color rgb="FF000000"/>
      <name val="Arial"/>
      <family val="0"/>
      <charset val="1"/>
    </font>
    <font>
      <sz val="10"/>
      <color rgb="FF595959"/>
      <name val="Arial"/>
      <family val="0"/>
      <charset val="1"/>
    </font>
    <font>
      <i val="true"/>
      <sz val="10"/>
      <color rgb="FF000000"/>
      <name val="Arial"/>
      <family val="0"/>
      <charset val="1"/>
    </font>
    <font>
      <b val="true"/>
      <i val="true"/>
      <sz val="9"/>
      <color rgb="FFC00000"/>
      <name val="Arial"/>
      <family val="0"/>
      <charset val="1"/>
    </font>
    <font>
      <b val="true"/>
      <i val="true"/>
      <sz val="10"/>
      <color rgb="FF000000"/>
      <name val="Arial"/>
      <family val="0"/>
      <charset val="1"/>
    </font>
    <font>
      <sz val="10"/>
      <color rgb="FFC00000"/>
      <name val="Arial"/>
      <family val="0"/>
      <charset val="1"/>
    </font>
    <font>
      <b val="true"/>
      <sz val="11"/>
      <name val="Arial"/>
      <family val="0"/>
      <charset val="1"/>
    </font>
    <font>
      <b val="true"/>
      <sz val="11"/>
      <color rgb="FF0000FF"/>
      <name val="Arial"/>
      <family val="0"/>
      <charset val="1"/>
    </font>
    <font>
      <b val="true"/>
      <i val="true"/>
      <sz val="8"/>
      <color rgb="FF7F6000"/>
      <name val="Arial"/>
      <family val="0"/>
      <charset val="1"/>
    </font>
    <font>
      <sz val="11"/>
      <color rgb="FF0000FF"/>
      <name val="Arial"/>
      <family val="0"/>
      <charset val="1"/>
    </font>
    <font>
      <sz val="11"/>
      <name val="Arial"/>
      <family val="0"/>
      <charset val="1"/>
    </font>
    <font>
      <b val="true"/>
      <sz val="12"/>
      <color rgb="FFC00000"/>
      <name val="Arial"/>
      <family val="0"/>
      <charset val="1"/>
    </font>
    <font>
      <b val="true"/>
      <i val="true"/>
      <sz val="9"/>
      <name val="Arial"/>
      <family val="0"/>
      <charset val="1"/>
    </font>
    <font>
      <b val="true"/>
      <sz val="11"/>
      <color rgb="FFFFFFFF"/>
      <name val="Arial"/>
      <family val="0"/>
      <charset val="1"/>
    </font>
    <font>
      <b val="true"/>
      <sz val="10"/>
      <color rgb="FFC00000"/>
      <name val="Arial"/>
      <family val="0"/>
      <charset val="1"/>
    </font>
  </fonts>
  <fills count="6">
    <fill>
      <patternFill patternType="none"/>
    </fill>
    <fill>
      <patternFill patternType="gray125"/>
    </fill>
    <fill>
      <patternFill patternType="solid">
        <fgColor rgb="FF1F3864"/>
        <bgColor rgb="FF333333"/>
      </patternFill>
    </fill>
    <fill>
      <patternFill patternType="solid">
        <fgColor rgb="FF4472C4"/>
        <bgColor rgb="FF4A7EBB"/>
      </patternFill>
    </fill>
    <fill>
      <patternFill patternType="solid">
        <fgColor rgb="FFFFFF00"/>
        <bgColor rgb="FFFFFF00"/>
      </patternFill>
    </fill>
    <fill>
      <patternFill patternType="solid">
        <fgColor rgb="FFD9E1F2"/>
        <bgColor rgb="FFD9D9D9"/>
      </patternFill>
    </fill>
  </fills>
  <borders count="3">
    <border diagonalUp="false" diagonalDown="false">
      <left/>
      <right/>
      <top/>
      <bottom/>
      <diagonal/>
    </border>
    <border diagonalUp="false" diagonalDown="false">
      <left/>
      <right/>
      <top/>
      <bottom style="thin"/>
      <diagonal/>
    </border>
    <border diagonalUp="false" diagonalDown="false">
      <left/>
      <right/>
      <top style="thin"/>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xf numFmtId="165" fontId="16" fillId="2" borderId="1"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1" shrinkToFit="false"/>
      <protection locked="true" hidden="false"/>
    </xf>
    <xf numFmtId="166" fontId="18"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1" shrinkToFit="false"/>
      <protection locked="true" hidden="false"/>
    </xf>
    <xf numFmtId="167" fontId="18" fillId="0" borderId="0" xfId="0" applyFont="true" applyBorder="false" applyAlignment="true" applyProtection="false">
      <alignment horizontal="general" vertical="bottom" textRotation="0" wrapText="false" indent="0" shrinkToFit="false"/>
      <protection locked="true" hidden="false"/>
    </xf>
    <xf numFmtId="164" fontId="19"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6" fontId="20" fillId="0" borderId="0" xfId="0" applyFont="true" applyBorder="false" applyAlignment="true" applyProtection="false">
      <alignment horizontal="general" vertical="bottom" textRotation="0" wrapText="false" indent="0" shrinkToFit="false"/>
      <protection locked="true" hidden="false"/>
    </xf>
    <xf numFmtId="168" fontId="21" fillId="0" borderId="0" xfId="0" applyFont="true" applyBorder="false" applyAlignment="true" applyProtection="false">
      <alignment horizontal="general" vertical="bottom" textRotation="0" wrapText="false" indent="0" shrinkToFit="false"/>
      <protection locked="true" hidden="false"/>
    </xf>
    <xf numFmtId="167" fontId="20"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6" fontId="25"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4" fontId="27" fillId="0" borderId="0" xfId="0" applyFont="true" applyBorder="false" applyAlignment="true" applyProtection="false">
      <alignment horizontal="general" vertical="bottom" textRotation="0" wrapText="false" indent="1" shrinkToFit="false"/>
      <protection locked="true" hidden="false"/>
    </xf>
    <xf numFmtId="167" fontId="28" fillId="0" borderId="0" xfId="0" applyFont="true" applyBorder="false" applyAlignment="true" applyProtection="false">
      <alignment horizontal="general" vertical="bottom" textRotation="0" wrapText="false" indent="0" shrinkToFit="false"/>
      <protection locked="true" hidden="false"/>
    </xf>
    <xf numFmtId="164" fontId="26" fillId="0" borderId="0" xfId="0" applyFont="true" applyBorder="true" applyAlignment="true" applyProtection="false">
      <alignment horizontal="general" vertical="bottom" textRotation="0" wrapText="false" indent="0" shrinkToFit="false"/>
      <protection locked="true" hidden="false"/>
    </xf>
    <xf numFmtId="171" fontId="25" fillId="0" borderId="0" xfId="0" applyFont="true" applyBorder="false" applyAlignment="true" applyProtection="false">
      <alignment horizontal="general" vertical="bottom" textRotation="0" wrapText="false" indent="0" shrinkToFit="false"/>
      <protection locked="true" hidden="false"/>
    </xf>
    <xf numFmtId="171" fontId="11" fillId="0" borderId="0" xfId="0" applyFont="true" applyBorder="fals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1" shrinkToFit="false"/>
      <protection locked="true" hidden="false"/>
    </xf>
    <xf numFmtId="164" fontId="30" fillId="3" borderId="0" xfId="0" applyFont="true" applyBorder="true" applyAlignment="true" applyProtection="false">
      <alignment horizontal="general" vertical="bottom" textRotation="0" wrapText="false" indent="0" shrinkToFit="false"/>
      <protection locked="true" hidden="false"/>
    </xf>
    <xf numFmtId="164" fontId="31" fillId="0" borderId="0" xfId="0" applyFont="true" applyBorder="false" applyAlignment="true" applyProtection="false">
      <alignment horizontal="general" vertical="bottom" textRotation="0" wrapText="false" indent="1" shrinkToFit="false"/>
      <protection locked="true" hidden="false"/>
    </xf>
    <xf numFmtId="166" fontId="17" fillId="0" borderId="2" xfId="0" applyFont="true" applyBorder="true" applyAlignment="true" applyProtection="false">
      <alignment horizontal="general" vertical="bottom" textRotation="0" wrapText="false" indent="0" shrinkToFit="false"/>
      <protection locked="true" hidden="false"/>
    </xf>
    <xf numFmtId="172" fontId="32" fillId="0"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6" fontId="32" fillId="0" borderId="0" xfId="0" applyFont="true" applyBorder="false" applyAlignment="true" applyProtection="false">
      <alignment horizontal="general" vertical="bottom" textRotation="0" wrapText="false" indent="0" shrinkToFit="false"/>
      <protection locked="true" hidden="false"/>
    </xf>
    <xf numFmtId="164" fontId="33" fillId="0" borderId="0" xfId="0" applyFont="true" applyBorder="false" applyAlignment="true" applyProtection="false">
      <alignment horizontal="general" vertical="bottom" textRotation="0" wrapText="false" indent="0" shrinkToFit="false"/>
      <protection locked="true" hidden="false"/>
    </xf>
    <xf numFmtId="164" fontId="34" fillId="4" borderId="0" xfId="0" applyFont="true" applyBorder="false" applyAlignment="true" applyProtection="false">
      <alignment horizontal="center" vertical="bottom" textRotation="0" wrapText="false" indent="0" shrinkToFit="false"/>
      <protection locked="true" hidden="false"/>
    </xf>
    <xf numFmtId="164" fontId="16" fillId="2" borderId="0" xfId="0" applyFont="true" applyBorder="false" applyAlignment="true" applyProtection="false">
      <alignment horizontal="left" vertical="bottom" textRotation="0" wrapText="false" indent="0" shrinkToFit="false"/>
      <protection locked="true" hidden="false"/>
    </xf>
    <xf numFmtId="164" fontId="16" fillId="2" borderId="0" xfId="0" applyFont="true" applyBorder="false" applyAlignment="true" applyProtection="false">
      <alignment horizontal="center" vertical="bottom" textRotation="0" wrapText="false" indent="0" shrinkToFit="false"/>
      <protection locked="true" hidden="false"/>
    </xf>
    <xf numFmtId="164" fontId="16" fillId="2"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7" fontId="25" fillId="0" borderId="0" xfId="0" applyFont="true" applyBorder="false" applyAlignment="true" applyProtection="false">
      <alignment horizontal="general" vertical="bottom" textRotation="0" wrapText="false" indent="0" shrinkToFit="false"/>
      <protection locked="true" hidden="false"/>
    </xf>
    <xf numFmtId="167" fontId="9" fillId="5" borderId="0" xfId="0" applyFont="true" applyBorder="false" applyAlignment="true" applyProtection="false">
      <alignment horizontal="general" vertical="bottom" textRotation="0" wrapText="false" indent="0" shrinkToFit="false"/>
      <protection locked="true" hidden="false"/>
    </xf>
    <xf numFmtId="166" fontId="9" fillId="5" borderId="0" xfId="0" applyFont="true" applyBorder="false" applyAlignment="true" applyProtection="false">
      <alignment horizontal="general" vertical="bottom" textRotation="0" wrapText="false" indent="0" shrinkToFit="false"/>
      <protection locked="true" hidden="false"/>
    </xf>
    <xf numFmtId="164" fontId="35" fillId="0" borderId="0" xfId="0" applyFont="true" applyBorder="false" applyAlignment="true" applyProtection="false">
      <alignment horizontal="center" vertical="bottom" textRotation="0" wrapText="false" indent="0" shrinkToFit="false"/>
      <protection locked="true" hidden="false"/>
    </xf>
    <xf numFmtId="167" fontId="36" fillId="0" borderId="0" xfId="0" applyFont="true" applyBorder="false" applyAlignment="true" applyProtection="false">
      <alignment horizontal="general" vertical="bottom" textRotation="0" wrapText="false" indent="0" shrinkToFit="false"/>
      <protection locked="true" hidden="false"/>
    </xf>
    <xf numFmtId="173" fontId="36" fillId="0" borderId="0" xfId="0" applyFont="true" applyBorder="false" applyAlignment="true" applyProtection="false">
      <alignment horizontal="general" vertical="bottom" textRotation="0" wrapText="false" indent="0" shrinkToFit="false"/>
      <protection locked="true" hidden="false"/>
    </xf>
    <xf numFmtId="167" fontId="33" fillId="0" borderId="0" xfId="0" applyFont="true" applyBorder="false" applyAlignment="true" applyProtection="false">
      <alignment horizontal="general" vertical="bottom" textRotation="0" wrapText="false" indent="0" shrinkToFit="false"/>
      <protection locked="true" hidden="false"/>
    </xf>
    <xf numFmtId="166" fontId="36" fillId="0" borderId="0" xfId="0" applyFont="true" applyBorder="false" applyAlignment="true" applyProtection="false">
      <alignment horizontal="general" vertical="bottom" textRotation="0" wrapText="false" indent="0" shrinkToFit="false"/>
      <protection locked="true" hidden="false"/>
    </xf>
    <xf numFmtId="166" fontId="33" fillId="0" borderId="0" xfId="0" applyFont="true" applyBorder="false" applyAlignment="true" applyProtection="false">
      <alignment horizontal="general" vertical="bottom" textRotation="0" wrapText="false" indent="0" shrinkToFit="false"/>
      <protection locked="true" hidden="false"/>
    </xf>
    <xf numFmtId="167" fontId="37" fillId="0" borderId="0" xfId="0" applyFont="true" applyBorder="false" applyAlignment="true" applyProtection="false">
      <alignment horizontal="general" vertical="bottom" textRotation="0" wrapText="false" indent="0" shrinkToFit="false"/>
      <protection locked="true" hidden="false"/>
    </xf>
    <xf numFmtId="167" fontId="33" fillId="4"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74" fontId="11" fillId="0" borderId="0" xfId="0" applyFont="true" applyBorder="false" applyAlignment="true" applyProtection="false">
      <alignment horizontal="general" vertical="bottom" textRotation="0" wrapText="false" indent="0" shrinkToFit="false"/>
      <protection locked="true" hidden="false"/>
    </xf>
    <xf numFmtId="171" fontId="20" fillId="0" borderId="0" xfId="0" applyFont="true" applyBorder="false" applyAlignment="true" applyProtection="false">
      <alignment horizontal="general" vertical="bottom" textRotation="0" wrapText="false" indent="0" shrinkToFit="false"/>
      <protection locked="true" hidden="false"/>
    </xf>
    <xf numFmtId="168" fontId="38" fillId="4" borderId="0" xfId="0" applyFont="true" applyBorder="false" applyAlignment="true" applyProtection="false">
      <alignment horizontal="general" vertical="bottom" textRotation="0" wrapText="false" indent="0" shrinkToFit="false"/>
      <protection locked="true" hidden="false"/>
    </xf>
    <xf numFmtId="168" fontId="36" fillId="0" borderId="0" xfId="0" applyFont="true" applyBorder="false" applyAlignment="true" applyProtection="false">
      <alignment horizontal="general" vertical="bottom" textRotation="0" wrapText="false" indent="0" shrinkToFit="false"/>
      <protection locked="true" hidden="false"/>
    </xf>
    <xf numFmtId="164" fontId="39" fillId="0" borderId="0" xfId="0" applyFont="true" applyBorder="false" applyAlignment="true" applyProtection="false">
      <alignment horizontal="general" vertical="bottom" textRotation="0" wrapText="false" indent="0" shrinkToFit="false"/>
      <protection locked="true" hidden="false"/>
    </xf>
    <xf numFmtId="167" fontId="40" fillId="2" borderId="0" xfId="0" applyFont="true" applyBorder="false" applyAlignment="true" applyProtection="false">
      <alignment horizontal="center"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8" fontId="41" fillId="4"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4F81BD"/>
      <rgbColor rgb="FFC0C0C0"/>
      <rgbColor rgb="FF808080"/>
      <rgbColor rgb="FF9999FF"/>
      <rgbColor rgb="FFC0504D"/>
      <rgbColor rgb="FFF9F9F9"/>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BBB59"/>
      <rgbColor rgb="FFFFCC00"/>
      <rgbColor rgb="FFFF9900"/>
      <rgbColor rgb="FFFF6600"/>
      <rgbColor rgb="FF595959"/>
      <rgbColor rgb="FF878787"/>
      <rgbColor rgb="FF1F3864"/>
      <rgbColor rgb="FF4A7EBB"/>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Growth %</a:t>
            </a:r>
          </a:p>
        </c:rich>
      </c:tx>
      <c:overlay val="0"/>
      <c:spPr>
        <a:noFill/>
        <a:ln w="0">
          <a:noFill/>
        </a:ln>
      </c:spPr>
    </c:title>
    <c:autoTitleDeleted val="0"/>
    <c:plotArea>
      <c:lineChart>
        <c:grouping val="standard"/>
        <c:varyColors val="0"/>
        <c:ser>
          <c:idx val="0"/>
          <c:order val="0"/>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'Executive Summary'!$F$5:$N$5</c:f>
              <c:strCache>
                <c:ptCount val="9"/>
                <c:pt idx="0">
                  <c:v>2021</c:v>
                </c:pt>
                <c:pt idx="1">
                  <c:v>2022</c:v>
                </c:pt>
                <c:pt idx="2">
                  <c:v>2023</c:v>
                </c:pt>
                <c:pt idx="3">
                  <c:v>2024</c:v>
                </c:pt>
                <c:pt idx="4">
                  <c:v>2025</c:v>
                </c:pt>
                <c:pt idx="5">
                  <c:v>2026</c:v>
                </c:pt>
                <c:pt idx="6">
                  <c:v>2027</c:v>
                </c:pt>
                <c:pt idx="7">
                  <c:v>2028</c:v>
                </c:pt>
                <c:pt idx="8">
                  <c:v>2029</c:v>
                </c:pt>
              </c:strCache>
            </c:strRef>
          </c:cat>
          <c:val>
            <c:numRef>
              <c:f>'Executive Summary'!$F$7:$N$7</c:f>
              <c:numCache>
                <c:formatCode>0.0%;\(0.0%\);\-</c:formatCode>
                <c:ptCount val="9"/>
                <c:pt idx="0">
                  <c:v>0.175317274411775</c:v>
                </c:pt>
                <c:pt idx="1">
                  <c:v>0.179560706296702</c:v>
                </c:pt>
                <c:pt idx="2">
                  <c:v>0.0688202955565642</c:v>
                </c:pt>
                <c:pt idx="3">
                  <c:v>0.156699620130713</c:v>
                </c:pt>
                <c:pt idx="4">
                  <c:v>0.14145271738256</c:v>
                </c:pt>
                <c:pt idx="5">
                  <c:v>0.14504639073481</c:v>
                </c:pt>
                <c:pt idx="6">
                  <c:v>0.148540539454119</c:v>
                </c:pt>
                <c:pt idx="7">
                  <c:v>0.151922635884025</c:v>
                </c:pt>
                <c:pt idx="8">
                  <c:v>0.155182266367486</c:v>
                </c:pt>
              </c:numCache>
            </c:numRef>
          </c:val>
          <c:smooth val="0"/>
        </c:ser>
        <c:hiLowLines>
          <c:spPr>
            <a:ln w="0">
              <a:noFill/>
            </a:ln>
          </c:spPr>
        </c:hiLowLines>
        <c:marker val="0"/>
        <c:axId val="73432878"/>
        <c:axId val="86365748"/>
      </c:lineChart>
      <c:catAx>
        <c:axId val="73432878"/>
        <c:scaling>
          <c:orientation val="minMax"/>
        </c:scaling>
        <c:delete val="0"/>
        <c:axPos val="b"/>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365748"/>
        <c:crosses val="autoZero"/>
        <c:auto val="1"/>
        <c:lblAlgn val="ctr"/>
        <c:lblOffset val="100"/>
        <c:noMultiLvlLbl val="0"/>
      </c:catAx>
      <c:valAx>
        <c:axId val="86365748"/>
        <c:scaling>
          <c:orientation val="minMax"/>
        </c:scaling>
        <c:delete val="0"/>
        <c:axPos val="l"/>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43287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EBITDA Margin %</a:t>
            </a:r>
          </a:p>
        </c:rich>
      </c:tx>
      <c:overlay val="0"/>
      <c:spPr>
        <a:noFill/>
        <a:ln w="0">
          <a:noFill/>
        </a:ln>
      </c:spPr>
    </c:title>
    <c:autoTitleDeleted val="0"/>
    <c:plotArea>
      <c:lineChart>
        <c:grouping val="standard"/>
        <c:varyColors val="0"/>
        <c:ser>
          <c:idx val="0"/>
          <c:order val="0"/>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'Executive Summary'!$F$5:$N$5</c:f>
              <c:strCache>
                <c:ptCount val="9"/>
                <c:pt idx="0">
                  <c:v>2021</c:v>
                </c:pt>
                <c:pt idx="1">
                  <c:v>2022</c:v>
                </c:pt>
                <c:pt idx="2">
                  <c:v>2023</c:v>
                </c:pt>
                <c:pt idx="3">
                  <c:v>2024</c:v>
                </c:pt>
                <c:pt idx="4">
                  <c:v>2025</c:v>
                </c:pt>
                <c:pt idx="5">
                  <c:v>2026</c:v>
                </c:pt>
                <c:pt idx="6">
                  <c:v>2027</c:v>
                </c:pt>
                <c:pt idx="7">
                  <c:v>2028</c:v>
                </c:pt>
                <c:pt idx="8">
                  <c:v>2029</c:v>
                </c:pt>
              </c:strCache>
            </c:strRef>
          </c:cat>
          <c:val>
            <c:numRef>
              <c:f>'Executive Summary'!$F$11:$N$11</c:f>
              <c:numCache>
                <c:formatCode>0.0%;\(0.0%\);\-</c:formatCode>
                <c:ptCount val="9"/>
                <c:pt idx="0">
                  <c:v>0.485471895673695</c:v>
                </c:pt>
                <c:pt idx="1">
                  <c:v>0.493483633429162</c:v>
                </c:pt>
                <c:pt idx="2">
                  <c:v>0.483137106858882</c:v>
                </c:pt>
                <c:pt idx="3">
                  <c:v>0.537365067191031</c:v>
                </c:pt>
                <c:pt idx="4">
                  <c:v>0.537365067191032</c:v>
                </c:pt>
                <c:pt idx="5">
                  <c:v>0.537365067191032</c:v>
                </c:pt>
                <c:pt idx="6">
                  <c:v>0.537365067191031</c:v>
                </c:pt>
                <c:pt idx="7">
                  <c:v>0.537365067191031</c:v>
                </c:pt>
                <c:pt idx="8">
                  <c:v>0.537365067191032</c:v>
                </c:pt>
              </c:numCache>
            </c:numRef>
          </c:val>
          <c:smooth val="0"/>
        </c:ser>
        <c:hiLowLines>
          <c:spPr>
            <a:ln w="0">
              <a:noFill/>
            </a:ln>
          </c:spPr>
        </c:hiLowLines>
        <c:marker val="0"/>
        <c:axId val="90546328"/>
        <c:axId val="29278860"/>
      </c:lineChart>
      <c:catAx>
        <c:axId val="90546328"/>
        <c:scaling>
          <c:orientation val="minMax"/>
        </c:scaling>
        <c:delete val="0"/>
        <c:axPos val="b"/>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9278860"/>
        <c:crosses val="autoZero"/>
        <c:auto val="1"/>
        <c:lblAlgn val="ctr"/>
        <c:lblOffset val="100"/>
        <c:noMultiLvlLbl val="0"/>
      </c:catAx>
      <c:valAx>
        <c:axId val="29278860"/>
        <c:scaling>
          <c:orientation val="minMax"/>
        </c:scaling>
        <c:delete val="0"/>
        <c:axPos val="l"/>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54632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Free Cash Flow ($M)</a:t>
            </a:r>
          </a:p>
        </c:rich>
      </c:tx>
      <c:overlay val="0"/>
      <c:spPr>
        <a:noFill/>
        <a:ln w="0">
          <a:noFill/>
        </a:ln>
      </c:spPr>
    </c:title>
    <c:autoTitleDeleted val="0"/>
    <c:plotArea>
      <c:barChart>
        <c:barDir val="col"/>
        <c:grouping val="clustered"/>
        <c:varyColors val="0"/>
        <c:ser>
          <c:idx val="0"/>
          <c:order val="0"/>
          <c:spPr>
            <a:solidFill>
              <a:srgbClr val="4f81bd"/>
            </a:solidFill>
            <a:ln w="9360">
              <a:solidFill>
                <a:srgbClr val="f9f9f9"/>
              </a:solidFill>
              <a:round/>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'Executive Summary'!$D$5:$N$5</c:f>
              <c:strCache>
                <c:ptCount val="11"/>
                <c:pt idx="0">
                  <c:v>2019</c:v>
                </c:pt>
                <c:pt idx="1">
                  <c:v>2020</c:v>
                </c:pt>
                <c:pt idx="2">
                  <c:v>2021</c:v>
                </c:pt>
                <c:pt idx="3">
                  <c:v>2022</c:v>
                </c:pt>
                <c:pt idx="4">
                  <c:v>2023</c:v>
                </c:pt>
                <c:pt idx="5">
                  <c:v>2024</c:v>
                </c:pt>
                <c:pt idx="6">
                  <c:v>2025</c:v>
                </c:pt>
                <c:pt idx="7">
                  <c:v>2026</c:v>
                </c:pt>
                <c:pt idx="8">
                  <c:v>2027</c:v>
                </c:pt>
                <c:pt idx="9">
                  <c:v>2028</c:v>
                </c:pt>
                <c:pt idx="10">
                  <c:v>2029</c:v>
                </c:pt>
              </c:strCache>
            </c:strRef>
          </c:cat>
          <c:val>
            <c:numRef>
              <c:f>'Executive Summary'!$D$13:$N$13</c:f>
              <c:numCache>
                <c:formatCode>\$#,##0;"($"#,##0\);\-</c:formatCode>
                <c:ptCount val="11"/>
                <c:pt idx="0">
                  <c:v>38260</c:v>
                </c:pt>
                <c:pt idx="1">
                  <c:v>45234</c:v>
                </c:pt>
                <c:pt idx="2">
                  <c:v>56118</c:v>
                </c:pt>
                <c:pt idx="3">
                  <c:v>65149</c:v>
                </c:pt>
                <c:pt idx="4">
                  <c:v>59475</c:v>
                </c:pt>
                <c:pt idx="5">
                  <c:v>74071</c:v>
                </c:pt>
                <c:pt idx="6">
                  <c:v>88759.7121472431</c:v>
                </c:pt>
                <c:pt idx="7">
                  <c:v>101855.698939955</c:v>
                </c:pt>
                <c:pt idx="8">
                  <c:v>117214.722941387</c:v>
                </c:pt>
                <c:pt idx="9">
                  <c:v>135259.353058151</c:v>
                </c:pt>
                <c:pt idx="10">
                  <c:v>156494.138752888</c:v>
                </c:pt>
              </c:numCache>
            </c:numRef>
          </c:val>
        </c:ser>
        <c:gapWidth val="150"/>
        <c:overlap val="0"/>
        <c:axId val="9755820"/>
        <c:axId val="55172094"/>
      </c:barChart>
      <c:catAx>
        <c:axId val="9755820"/>
        <c:scaling>
          <c:orientation val="minMax"/>
        </c:scaling>
        <c:delete val="0"/>
        <c:axPos val="b"/>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5172094"/>
        <c:crosses val="autoZero"/>
        <c:auto val="1"/>
        <c:lblAlgn val="ctr"/>
        <c:lblOffset val="100"/>
        <c:noMultiLvlLbl val="0"/>
      </c:catAx>
      <c:valAx>
        <c:axId val="5517209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5582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by Segment — FY2024</a:t>
            </a:r>
          </a:p>
        </c:rich>
      </c:tx>
      <c:overlay val="0"/>
      <c:spPr>
        <a:noFill/>
        <a:ln w="0">
          <a:noFill/>
        </a:ln>
      </c:spPr>
    </c:title>
    <c:autoTitleDeleted val="0"/>
    <c:plotArea>
      <c:pieChart>
        <c:varyColors val="1"/>
        <c:ser>
          <c:idx val="0"/>
          <c:order val="0"/>
          <c:spPr>
            <a:solidFill>
              <a:srgbClr val="4f81bd"/>
            </a:solidFill>
            <a:ln w="0">
              <a:noFill/>
            </a:ln>
          </c:spPr>
          <c:explosion val="0"/>
          <c:dPt>
            <c:idx val="0"/>
            <c:spPr>
              <a:solidFill>
                <a:srgbClr val="4f81bd"/>
              </a:solidFill>
              <a:ln w="0">
                <a:noFill/>
              </a:ln>
            </c:spPr>
          </c:dPt>
          <c:dPt>
            <c:idx val="1"/>
            <c:spPr>
              <a:solidFill>
                <a:srgbClr val="c0504d"/>
              </a:solidFill>
              <a:ln w="0">
                <a:noFill/>
              </a:ln>
            </c:spPr>
          </c:dPt>
          <c:dPt>
            <c:idx val="2"/>
            <c:spPr>
              <a:solidFill>
                <a:srgbClr val="9bbb59"/>
              </a:solidFill>
              <a:ln w="0">
                <a:noFill/>
              </a:ln>
            </c:spPr>
          </c:dPt>
          <c:dLbls>
            <c:dLbl>
              <c:idx val="0"/>
              <c:txPr>
                <a:bodyPr wrap="square"/>
                <a:lstStyle/>
                <a:p>
                  <a:pPr>
                    <a:defRPr b="0" sz="1000" spc="-1" strike="noStrike">
                      <a:solidFill>
                        <a:srgbClr val="000000"/>
                      </a:solidFill>
                      <a:latin typeface="Arial"/>
                    </a:defRPr>
                  </a:pPr>
                </a:p>
              </c:txPr>
              <c:dLblPos val="bestFit"/>
              <c:showLegendKey val="0"/>
              <c:showVal val="0"/>
              <c:showCatName val="0"/>
              <c:showSerName val="0"/>
              <c:showPercent val="0"/>
              <c:separator>; </c:separator>
            </c:dLbl>
            <c:dLbl>
              <c:idx val="1"/>
              <c:txPr>
                <a:bodyPr wrap="square"/>
                <a:lstStyle/>
                <a:p>
                  <a:pPr>
                    <a:defRPr b="0" sz="1000" spc="-1" strike="noStrike">
                      <a:solidFill>
                        <a:srgbClr val="000000"/>
                      </a:solidFill>
                      <a:latin typeface="Arial"/>
                    </a:defRPr>
                  </a:pPr>
                </a:p>
              </c:txPr>
              <c:dLblPos val="bestFit"/>
              <c:showLegendKey val="0"/>
              <c:showVal val="0"/>
              <c:showCatName val="0"/>
              <c:showSerName val="0"/>
              <c:showPercent val="0"/>
              <c:separator>; </c:separator>
            </c:dLbl>
            <c:dLbl>
              <c:idx val="2"/>
              <c:txPr>
                <a:bodyPr wrap="square"/>
                <a:lstStyle/>
                <a:p>
                  <a:pPr>
                    <a:defRPr b="0" sz="1000" spc="-1" strike="noStrike">
                      <a:solidFill>
                        <a:srgbClr val="000000"/>
                      </a:solidFill>
                      <a:latin typeface="Arial"/>
                    </a:defRPr>
                  </a:pPr>
                </a:p>
              </c:txPr>
              <c:dLblPos val="bestFit"/>
              <c:showLegendKey val="0"/>
              <c:showVal val="0"/>
              <c:showCatName val="0"/>
              <c:showSerName val="0"/>
              <c:showPercent val="0"/>
              <c:separator>; </c:separator>
            </c:dLbl>
            <c:txPr>
              <a:bodyPr wrap="square"/>
              <a:lstStyle/>
              <a:p>
                <a:pPr>
                  <a:defRPr b="0" sz="1000" spc="-1" strike="noStrike">
                    <a:solidFill>
                      <a:srgbClr val="000000"/>
                    </a:solidFill>
                    <a:latin typeface="Arial"/>
                  </a:defRPr>
                </a:pPr>
              </a:p>
            </c:txPr>
            <c:dLblPos val="bestFit"/>
            <c:showLegendKey val="0"/>
            <c:showVal val="0"/>
            <c:showCatName val="0"/>
            <c:showSerName val="0"/>
            <c:showPercent val="0"/>
            <c:separator>; </c:separator>
            <c:showLeaderLines val="1"/>
          </c:dLbls>
          <c:cat>
            <c:strRef>
              <c:f>'Executive Summary'!$B$57:$B$59</c:f>
              <c:strCache>
                <c:ptCount val="3"/>
                <c:pt idx="0">
                  <c:v>Productivity and Business Processes</c:v>
                </c:pt>
                <c:pt idx="1">
                  <c:v>Intelligent Cloud</c:v>
                </c:pt>
                <c:pt idx="2">
                  <c:v>More Personal Computing</c:v>
                </c:pt>
              </c:strCache>
            </c:strRef>
          </c:cat>
          <c:val>
            <c:numRef>
              <c:f>'Executive Summary'!$D$57:$D$59</c:f>
              <c:numCache>
                <c:formatCode>\$#,##0;"($"#,##0\);\-</c:formatCode>
                <c:ptCount val="3"/>
                <c:pt idx="0">
                  <c:v>77728</c:v>
                </c:pt>
                <c:pt idx="1">
                  <c:v>105362</c:v>
                </c:pt>
                <c:pt idx="2">
                  <c:v>62032</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22</xdr:row>
      <xdr:rowOff>131040</xdr:rowOff>
    </xdr:from>
    <xdr:to>
      <xdr:col>6</xdr:col>
      <xdr:colOff>324360</xdr:colOff>
      <xdr:row>36</xdr:row>
      <xdr:rowOff>163080</xdr:rowOff>
    </xdr:to>
    <xdr:graphicFrame>
      <xdr:nvGraphicFramePr>
        <xdr:cNvPr id="0" name="Chart 1"/>
        <xdr:cNvGraphicFramePr/>
      </xdr:nvGraphicFramePr>
      <xdr:xfrm>
        <a:off x="141120" y="4379040"/>
        <a:ext cx="539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22</xdr:row>
      <xdr:rowOff>131040</xdr:rowOff>
    </xdr:from>
    <xdr:to>
      <xdr:col>13</xdr:col>
      <xdr:colOff>324360</xdr:colOff>
      <xdr:row>36</xdr:row>
      <xdr:rowOff>163080</xdr:rowOff>
    </xdr:to>
    <xdr:graphicFrame>
      <xdr:nvGraphicFramePr>
        <xdr:cNvPr id="1" name="Chart 2"/>
        <xdr:cNvGraphicFramePr/>
      </xdr:nvGraphicFramePr>
      <xdr:xfrm>
        <a:off x="6061680" y="4379040"/>
        <a:ext cx="5399280" cy="269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38</xdr:row>
      <xdr:rowOff>131040</xdr:rowOff>
    </xdr:from>
    <xdr:to>
      <xdr:col>6</xdr:col>
      <xdr:colOff>324360</xdr:colOff>
      <xdr:row>52</xdr:row>
      <xdr:rowOff>163440</xdr:rowOff>
    </xdr:to>
    <xdr:graphicFrame>
      <xdr:nvGraphicFramePr>
        <xdr:cNvPr id="2" name="Chart 3"/>
        <xdr:cNvGraphicFramePr/>
      </xdr:nvGraphicFramePr>
      <xdr:xfrm>
        <a:off x="141120" y="7427160"/>
        <a:ext cx="5399280" cy="26992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38</xdr:row>
      <xdr:rowOff>131040</xdr:rowOff>
    </xdr:from>
    <xdr:to>
      <xdr:col>13</xdr:col>
      <xdr:colOff>324360</xdr:colOff>
      <xdr:row>52</xdr:row>
      <xdr:rowOff>163440</xdr:rowOff>
    </xdr:to>
    <xdr:graphicFrame>
      <xdr:nvGraphicFramePr>
        <xdr:cNvPr id="3" name="Chart 4"/>
        <xdr:cNvGraphicFramePr/>
      </xdr:nvGraphicFramePr>
      <xdr:xfrm>
        <a:off x="6061680" y="7427160"/>
        <a:ext cx="5399280" cy="26992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0"/>
    <col collapsed="false" customWidth="true" hidden="false" outlineLevel="0" max="3" min="3" style="1" width="14"/>
  </cols>
  <sheetData>
    <row r="1" customFormat="false" ht="24" hidden="false" customHeight="true" outlineLevel="0" collapsed="false">
      <c r="A1" s="2" t="s">
        <v>0</v>
      </c>
    </row>
    <row r="2" customFormat="false" ht="17.25" hidden="false" customHeight="true" outlineLevel="0" collapsed="false">
      <c r="A2" s="3" t="s">
        <v>1</v>
      </c>
    </row>
    <row r="3" customFormat="false" ht="15" hidden="false" customHeight="true" outlineLevel="0" collapsed="false">
      <c r="A3" s="4" t="s">
        <v>2</v>
      </c>
    </row>
    <row r="4" customFormat="false" ht="15" hidden="false" customHeight="true" outlineLevel="0" collapsed="false">
      <c r="A4" s="5" t="s">
        <v>3</v>
      </c>
    </row>
    <row r="6" customFormat="false" ht="15" hidden="false" customHeight="true" outlineLevel="0" collapsed="false">
      <c r="B6" s="6" t="s">
        <v>4</v>
      </c>
    </row>
    <row r="8" customFormat="false" ht="15" hidden="false" customHeight="true" outlineLevel="0" collapsed="false">
      <c r="B8" s="7" t="s">
        <v>5</v>
      </c>
      <c r="C8" s="8" t="s">
        <v>6</v>
      </c>
      <c r="D8" s="8"/>
      <c r="E8" s="8"/>
      <c r="F8" s="8"/>
      <c r="G8" s="8"/>
      <c r="H8" s="8"/>
      <c r="I8" s="8"/>
      <c r="J8" s="8"/>
      <c r="K8" s="8"/>
      <c r="L8" s="8"/>
      <c r="M8" s="8"/>
      <c r="N8" s="8"/>
    </row>
    <row r="9" customFormat="false" ht="15" hidden="false" customHeight="true" outlineLevel="0" collapsed="false">
      <c r="B9" s="7" t="s">
        <v>7</v>
      </c>
      <c r="C9" s="8" t="s">
        <v>8</v>
      </c>
      <c r="D9" s="8"/>
      <c r="E9" s="8"/>
      <c r="F9" s="8"/>
      <c r="G9" s="8"/>
      <c r="H9" s="8"/>
      <c r="I9" s="8"/>
      <c r="J9" s="8"/>
      <c r="K9" s="8"/>
      <c r="L9" s="8"/>
      <c r="M9" s="8"/>
      <c r="N9" s="8"/>
    </row>
    <row r="10" customFormat="false" ht="15" hidden="false" customHeight="true" outlineLevel="0" collapsed="false">
      <c r="B10" s="7" t="s">
        <v>9</v>
      </c>
      <c r="C10" s="8" t="s">
        <v>10</v>
      </c>
      <c r="D10" s="8"/>
      <c r="E10" s="8"/>
      <c r="F10" s="8"/>
      <c r="G10" s="8"/>
      <c r="H10" s="8"/>
      <c r="I10" s="8"/>
      <c r="J10" s="8"/>
      <c r="K10" s="8"/>
      <c r="L10" s="8"/>
      <c r="M10" s="8"/>
      <c r="N10" s="8"/>
    </row>
    <row r="11" customFormat="false" ht="15" hidden="false" customHeight="true" outlineLevel="0" collapsed="false">
      <c r="B11" s="7" t="s">
        <v>11</v>
      </c>
      <c r="C11" s="8" t="s">
        <v>12</v>
      </c>
      <c r="D11" s="8"/>
      <c r="E11" s="8"/>
      <c r="F11" s="8"/>
      <c r="G11" s="8"/>
      <c r="H11" s="8"/>
      <c r="I11" s="8"/>
      <c r="J11" s="8"/>
      <c r="K11" s="8"/>
      <c r="L11" s="8"/>
      <c r="M11" s="8"/>
      <c r="N11" s="8"/>
    </row>
    <row r="12" customFormat="false" ht="15" hidden="false" customHeight="true" outlineLevel="0" collapsed="false">
      <c r="B12" s="7" t="s">
        <v>13</v>
      </c>
      <c r="C12" s="8" t="s">
        <v>14</v>
      </c>
      <c r="D12" s="8"/>
      <c r="E12" s="8"/>
      <c r="F12" s="8"/>
      <c r="G12" s="8"/>
      <c r="H12" s="8"/>
      <c r="I12" s="8"/>
      <c r="J12" s="8"/>
      <c r="K12" s="8"/>
      <c r="L12" s="8"/>
      <c r="M12" s="8"/>
      <c r="N12" s="8"/>
    </row>
    <row r="13" customFormat="false" ht="15" hidden="false" customHeight="true" outlineLevel="0" collapsed="false">
      <c r="B13" s="7" t="s">
        <v>15</v>
      </c>
      <c r="C13" s="8" t="s">
        <v>16</v>
      </c>
      <c r="D13" s="8"/>
      <c r="E13" s="8"/>
      <c r="F13" s="8"/>
      <c r="G13" s="8"/>
      <c r="H13" s="8"/>
      <c r="I13" s="8"/>
      <c r="J13" s="8"/>
      <c r="K13" s="8"/>
      <c r="L13" s="8"/>
      <c r="M13" s="8"/>
      <c r="N13" s="8"/>
    </row>
    <row r="14" customFormat="false" ht="15" hidden="false" customHeight="true" outlineLevel="0" collapsed="false">
      <c r="B14" s="7" t="s">
        <v>17</v>
      </c>
      <c r="C14" s="8" t="s">
        <v>18</v>
      </c>
      <c r="D14" s="8"/>
      <c r="E14" s="8"/>
      <c r="F14" s="8"/>
      <c r="G14" s="8"/>
      <c r="H14" s="8"/>
      <c r="I14" s="8"/>
      <c r="J14" s="8"/>
      <c r="K14" s="8"/>
      <c r="L14" s="8"/>
      <c r="M14" s="8"/>
      <c r="N14" s="8"/>
    </row>
    <row r="15" customFormat="false" ht="15" hidden="false" customHeight="true" outlineLevel="0" collapsed="false">
      <c r="B15" s="7" t="s">
        <v>19</v>
      </c>
      <c r="C15" s="8" t="s">
        <v>20</v>
      </c>
      <c r="D15" s="8"/>
      <c r="E15" s="8"/>
      <c r="F15" s="8"/>
      <c r="G15" s="8"/>
      <c r="H15" s="8"/>
      <c r="I15" s="8"/>
      <c r="J15" s="8"/>
      <c r="K15" s="8"/>
      <c r="L15" s="8"/>
      <c r="M15" s="8"/>
      <c r="N15" s="8"/>
    </row>
    <row r="16" customFormat="false" ht="15" hidden="false" customHeight="true" outlineLevel="0" collapsed="false">
      <c r="B16" s="7" t="s">
        <v>21</v>
      </c>
      <c r="C16" s="8" t="s">
        <v>22</v>
      </c>
      <c r="D16" s="8"/>
      <c r="E16" s="8"/>
      <c r="F16" s="8"/>
      <c r="G16" s="8"/>
      <c r="H16" s="8"/>
      <c r="I16" s="8"/>
      <c r="J16" s="8"/>
      <c r="K16" s="8"/>
      <c r="L16" s="8"/>
      <c r="M16" s="8"/>
      <c r="N16" s="8"/>
    </row>
    <row r="18" customFormat="false" ht="15" hidden="false" customHeight="true" outlineLevel="0" collapsed="false">
      <c r="B18" s="6" t="s">
        <v>23</v>
      </c>
    </row>
    <row r="20" customFormat="false" ht="79.5" hidden="false" customHeight="true" outlineLevel="0" collapsed="false">
      <c r="B20" s="9" t="s">
        <v>24</v>
      </c>
    </row>
    <row r="21" customFormat="false" ht="45.75" hidden="false" customHeight="true" outlineLevel="0" collapsed="false">
      <c r="B21" s="9" t="s">
        <v>25</v>
      </c>
    </row>
    <row r="22" customFormat="false" ht="57" hidden="false" customHeight="true" outlineLevel="0" collapsed="false">
      <c r="B22" s="9" t="s">
        <v>26</v>
      </c>
    </row>
    <row r="23" customFormat="false" ht="34.5" hidden="false" customHeight="true" outlineLevel="0" collapsed="false">
      <c r="B23" s="9" t="s">
        <v>27</v>
      </c>
    </row>
    <row r="25" customFormat="false" ht="15" hidden="false" customHeight="true" outlineLevel="0" collapsed="false">
      <c r="B25" s="6" t="s">
        <v>28</v>
      </c>
    </row>
    <row r="27" customFormat="false" ht="102" hidden="false" customHeight="true" outlineLevel="0" collapsed="false">
      <c r="B27" s="9" t="s">
        <v>29</v>
      </c>
    </row>
  </sheetData>
  <mergeCells count="9">
    <mergeCell ref="C8:N8"/>
    <mergeCell ref="C9:N9"/>
    <mergeCell ref="C10:N10"/>
    <mergeCell ref="C11:N11"/>
    <mergeCell ref="C12:N12"/>
    <mergeCell ref="C13:N13"/>
    <mergeCell ref="C14:N14"/>
    <mergeCell ref="C15:N15"/>
    <mergeCell ref="C16:N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4"/>
    <col collapsed="false" customWidth="true" hidden="false" outlineLevel="0" max="3" min="3" style="1" width="2"/>
    <col collapsed="false" customWidth="true" hidden="false" outlineLevel="0" max="14" min="4" style="1" width="12"/>
  </cols>
  <sheetData>
    <row r="1" customFormat="false" ht="19.5" hidden="false" customHeight="true" outlineLevel="0" collapsed="false">
      <c r="A1" s="10" t="s">
        <v>0</v>
      </c>
    </row>
    <row r="2" customFormat="false" ht="15" hidden="false" customHeight="true" outlineLevel="0" collapsed="false">
      <c r="A2" s="11" t="s">
        <v>30</v>
      </c>
    </row>
    <row r="3" customFormat="false" ht="15" hidden="false" customHeight="true" outlineLevel="0" collapsed="false">
      <c r="A3" s="12" t="s">
        <v>31</v>
      </c>
    </row>
    <row r="4" customFormat="false" ht="15" hidden="false" customHeight="true" outlineLevel="0" collapsed="false">
      <c r="D4" s="13" t="s">
        <v>32</v>
      </c>
      <c r="E4" s="13" t="s">
        <v>32</v>
      </c>
      <c r="F4" s="13" t="s">
        <v>32</v>
      </c>
      <c r="G4" s="13" t="s">
        <v>32</v>
      </c>
      <c r="H4" s="13" t="s">
        <v>32</v>
      </c>
      <c r="I4" s="13" t="s">
        <v>32</v>
      </c>
      <c r="J4" s="14" t="s">
        <v>33</v>
      </c>
      <c r="K4" s="14" t="s">
        <v>33</v>
      </c>
      <c r="L4" s="14" t="s">
        <v>33</v>
      </c>
      <c r="M4" s="14" t="s">
        <v>33</v>
      </c>
      <c r="N4" s="14" t="s">
        <v>33</v>
      </c>
    </row>
    <row r="5" customFormat="false" ht="15" hidden="false" customHeight="true" outlineLevel="0" collapsed="false">
      <c r="D5" s="15" t="n">
        <v>2019</v>
      </c>
      <c r="E5" s="15" t="n">
        <v>2020</v>
      </c>
      <c r="F5" s="15" t="n">
        <v>2021</v>
      </c>
      <c r="G5" s="15" t="n">
        <v>2022</v>
      </c>
      <c r="H5" s="15" t="n">
        <v>2023</v>
      </c>
      <c r="I5" s="15" t="n">
        <v>2024</v>
      </c>
      <c r="J5" s="15" t="n">
        <v>2025</v>
      </c>
      <c r="K5" s="15" t="n">
        <v>2026</v>
      </c>
      <c r="L5" s="15" t="n">
        <v>2027</v>
      </c>
      <c r="M5" s="15" t="n">
        <v>2028</v>
      </c>
      <c r="N5" s="15" t="n">
        <v>2029</v>
      </c>
    </row>
    <row r="6" customFormat="false" ht="15" hidden="false" customHeight="true" outlineLevel="0" collapsed="false">
      <c r="B6" s="16" t="s">
        <v>34</v>
      </c>
      <c r="D6" s="17" t="n">
        <f aca="false">'Income Statement'!D11</f>
        <v>125843</v>
      </c>
      <c r="E6" s="17" t="n">
        <f aca="false">'Income Statement'!E11</f>
        <v>143015</v>
      </c>
      <c r="F6" s="17" t="n">
        <f aca="false">'Income Statement'!F11</f>
        <v>168088</v>
      </c>
      <c r="G6" s="17" t="n">
        <f aca="false">'Income Statement'!G11</f>
        <v>198270</v>
      </c>
      <c r="H6" s="17" t="n">
        <f aca="false">'Income Statement'!H11</f>
        <v>211915</v>
      </c>
      <c r="I6" s="17" t="n">
        <f aca="false">'Income Statement'!I11</f>
        <v>245122</v>
      </c>
      <c r="J6" s="17" t="n">
        <f aca="false">'Income Statement'!J11</f>
        <v>279795.172990248</v>
      </c>
      <c r="K6" s="17" t="n">
        <f aca="false">'Income Statement'!K11</f>
        <v>320378.452977505</v>
      </c>
      <c r="L6" s="17" t="n">
        <f aca="false">'Income Statement'!L11</f>
        <v>367967.64121226</v>
      </c>
      <c r="M6" s="17" t="n">
        <f aca="false">'Income Statement'!M11</f>
        <v>423870.255185253</v>
      </c>
      <c r="N6" s="17" t="n">
        <f aca="false">'Income Statement'!N11</f>
        <v>489647.402030666</v>
      </c>
    </row>
    <row r="7" customFormat="false" ht="15" hidden="false" customHeight="true" outlineLevel="0" collapsed="false">
      <c r="B7" s="18" t="s">
        <v>35</v>
      </c>
      <c r="D7" s="19" t="n">
        <f aca="false">'Income Statement'!D12</f>
        <v>0</v>
      </c>
      <c r="E7" s="19" t="n">
        <f aca="false">'Income Statement'!E12</f>
        <v>0.136455742472764</v>
      </c>
      <c r="F7" s="19" t="n">
        <f aca="false">'Income Statement'!F12</f>
        <v>0.175317274411775</v>
      </c>
      <c r="G7" s="19" t="n">
        <f aca="false">'Income Statement'!G12</f>
        <v>0.179560706296702</v>
      </c>
      <c r="H7" s="19" t="n">
        <f aca="false">'Income Statement'!H12</f>
        <v>0.0688202955565642</v>
      </c>
      <c r="I7" s="19" t="n">
        <f aca="false">'Income Statement'!I12</f>
        <v>0.156699620130713</v>
      </c>
      <c r="J7" s="19" t="n">
        <f aca="false">'Income Statement'!J12</f>
        <v>0.14145271738256</v>
      </c>
      <c r="K7" s="19" t="n">
        <f aca="false">'Income Statement'!K12</f>
        <v>0.14504639073481</v>
      </c>
      <c r="L7" s="19" t="n">
        <f aca="false">'Income Statement'!L12</f>
        <v>0.148540539454119</v>
      </c>
      <c r="M7" s="19" t="n">
        <f aca="false">'Income Statement'!M12</f>
        <v>0.151922635884025</v>
      </c>
      <c r="N7" s="19" t="n">
        <f aca="false">'Income Statement'!N12</f>
        <v>0.155182266367486</v>
      </c>
    </row>
    <row r="8" customFormat="false" ht="15" hidden="false" customHeight="true" outlineLevel="0" collapsed="false">
      <c r="B8" s="18" t="s">
        <v>36</v>
      </c>
      <c r="D8" s="19" t="n">
        <f aca="false">'Income Statement'!D21</f>
        <v>0.659019572006389</v>
      </c>
      <c r="E8" s="19" t="n">
        <f aca="false">'Income Statement'!E21</f>
        <v>0.67781001992798</v>
      </c>
      <c r="F8" s="19" t="n">
        <f aca="false">'Income Statement'!F21</f>
        <v>0.689258007710247</v>
      </c>
      <c r="G8" s="19" t="n">
        <f aca="false">'Income Statement'!G21</f>
        <v>0.684016744842891</v>
      </c>
      <c r="H8" s="19" t="n">
        <f aca="false">'Income Statement'!H21</f>
        <v>0.68920085883491</v>
      </c>
      <c r="I8" s="19" t="n">
        <f aca="false">'Income Statement'!I21</f>
        <v>0.697644438279714</v>
      </c>
      <c r="J8" s="19" t="n">
        <f aca="false">'Income Statement'!J21</f>
        <v>0.697644438279714</v>
      </c>
      <c r="K8" s="19" t="n">
        <f aca="false">'Income Statement'!K21</f>
        <v>0.697644438279714</v>
      </c>
      <c r="L8" s="19" t="n">
        <f aca="false">'Income Statement'!L21</f>
        <v>0.697644438279714</v>
      </c>
      <c r="M8" s="19" t="n">
        <f aca="false">'Income Statement'!M21</f>
        <v>0.697644438279714</v>
      </c>
      <c r="N8" s="19" t="n">
        <f aca="false">'Income Statement'!N21</f>
        <v>0.697644438279714</v>
      </c>
    </row>
    <row r="9" customFormat="false" ht="15" hidden="false" customHeight="true" outlineLevel="0" collapsed="false">
      <c r="B9" s="18" t="s">
        <v>37</v>
      </c>
      <c r="D9" s="19" t="n">
        <f aca="false">'Income Statement'!D30</f>
        <v>0.341369802054942</v>
      </c>
      <c r="E9" s="19" t="n">
        <f aca="false">'Income Statement'!E30</f>
        <v>0.370303814285215</v>
      </c>
      <c r="F9" s="19" t="n">
        <f aca="false">'Income Statement'!F30</f>
        <v>0.415948788729713</v>
      </c>
      <c r="G9" s="19" t="n">
        <f aca="false">'Income Statement'!G30</f>
        <v>0.420552781560498</v>
      </c>
      <c r="H9" s="19" t="n">
        <f aca="false">'Income Statement'!H30</f>
        <v>0.417728806361041</v>
      </c>
      <c r="I9" s="19" t="n">
        <f aca="false">'Income Statement'!I30</f>
        <v>0.446442995732737</v>
      </c>
      <c r="J9" s="19" t="n">
        <f aca="false">'Income Statement'!J30</f>
        <v>0.446442995732737</v>
      </c>
      <c r="K9" s="19" t="n">
        <f aca="false">'Income Statement'!K30</f>
        <v>0.446442995732737</v>
      </c>
      <c r="L9" s="19" t="n">
        <f aca="false">'Income Statement'!L30</f>
        <v>0.446442995732737</v>
      </c>
      <c r="M9" s="19" t="n">
        <f aca="false">'Income Statement'!M30</f>
        <v>0.446442995732737</v>
      </c>
      <c r="N9" s="19" t="n">
        <f aca="false">'Income Statement'!N30</f>
        <v>0.446442995732737</v>
      </c>
    </row>
    <row r="10" customFormat="false" ht="15" hidden="false" customHeight="true" outlineLevel="0" collapsed="false">
      <c r="B10" s="16" t="s">
        <v>38</v>
      </c>
      <c r="D10" s="17" t="n">
        <f aca="false">'Income Statement'!D43</f>
        <v>54641</v>
      </c>
      <c r="E10" s="17" t="n">
        <f aca="false">'Income Statement'!E43</f>
        <v>65755</v>
      </c>
      <c r="F10" s="17" t="n">
        <f aca="false">'Income Statement'!F43</f>
        <v>81602</v>
      </c>
      <c r="G10" s="17" t="n">
        <f aca="false">'Income Statement'!G43</f>
        <v>97843</v>
      </c>
      <c r="H10" s="17" t="n">
        <f aca="false">'Income Statement'!H43</f>
        <v>102384</v>
      </c>
      <c r="I10" s="17" t="n">
        <f aca="false">'Income Statement'!I43</f>
        <v>131720</v>
      </c>
      <c r="J10" s="17" t="n">
        <f aca="false">'Income Statement'!J43</f>
        <v>150352.151933631</v>
      </c>
      <c r="K10" s="17" t="n">
        <f aca="false">'Income Statement'!K43</f>
        <v>172160.188910816</v>
      </c>
      <c r="L10" s="17" t="n">
        <f aca="false">'Income Statement'!L43</f>
        <v>197732.956244151</v>
      </c>
      <c r="M10" s="17" t="n">
        <f aca="false">'Income Statement'!M43</f>
        <v>227773.068157903</v>
      </c>
      <c r="N10" s="17" t="n">
        <f aca="false">'Income Statement'!N43</f>
        <v>263119.409092123</v>
      </c>
    </row>
    <row r="11" customFormat="false" ht="15" hidden="false" customHeight="true" outlineLevel="0" collapsed="false">
      <c r="B11" s="18" t="s">
        <v>39</v>
      </c>
      <c r="D11" s="19" t="n">
        <f aca="false">'Income Statement'!D44</f>
        <v>0.434199756839872</v>
      </c>
      <c r="E11" s="19" t="n">
        <f aca="false">'Income Statement'!E44</f>
        <v>0.459776946474146</v>
      </c>
      <c r="F11" s="19" t="n">
        <f aca="false">'Income Statement'!F44</f>
        <v>0.485471895673695</v>
      </c>
      <c r="G11" s="19" t="n">
        <f aca="false">'Income Statement'!G44</f>
        <v>0.493483633429162</v>
      </c>
      <c r="H11" s="19" t="n">
        <f aca="false">'Income Statement'!H44</f>
        <v>0.483137106858882</v>
      </c>
      <c r="I11" s="19" t="n">
        <f aca="false">'Income Statement'!I44</f>
        <v>0.537365067191031</v>
      </c>
      <c r="J11" s="19" t="n">
        <f aca="false">'Income Statement'!J44</f>
        <v>0.537365067191032</v>
      </c>
      <c r="K11" s="19" t="n">
        <f aca="false">'Income Statement'!K44</f>
        <v>0.537365067191032</v>
      </c>
      <c r="L11" s="19" t="n">
        <f aca="false">'Income Statement'!L44</f>
        <v>0.537365067191031</v>
      </c>
      <c r="M11" s="19" t="n">
        <f aca="false">'Income Statement'!M44</f>
        <v>0.537365067191031</v>
      </c>
      <c r="N11" s="19" t="n">
        <f aca="false">'Income Statement'!N44</f>
        <v>0.537365067191032</v>
      </c>
    </row>
    <row r="12" customFormat="false" ht="15" hidden="false" customHeight="true" outlineLevel="0" collapsed="false">
      <c r="B12" s="16" t="s">
        <v>40</v>
      </c>
      <c r="D12" s="17" t="n">
        <f aca="false">'Income Statement'!D37</f>
        <v>39240</v>
      </c>
      <c r="E12" s="17" t="n">
        <f aca="false">'Income Statement'!E37</f>
        <v>44281</v>
      </c>
      <c r="F12" s="17" t="n">
        <f aca="false">'Income Statement'!F37</f>
        <v>61271</v>
      </c>
      <c r="G12" s="17" t="n">
        <f aca="false">'Income Statement'!G37</f>
        <v>72738</v>
      </c>
      <c r="H12" s="17" t="n">
        <f aca="false">'Income Statement'!H37</f>
        <v>72361</v>
      </c>
      <c r="I12" s="17" t="n">
        <f aca="false">'Income Statement'!I37</f>
        <v>88136</v>
      </c>
      <c r="J12" s="17" t="n">
        <f aca="false">'Income Statement'!J37</f>
        <v>100793.459660504</v>
      </c>
      <c r="K12" s="17" t="n">
        <f aca="false">'Income Statement'!K37</f>
        <v>115608.406924607</v>
      </c>
      <c r="L12" s="17" t="n">
        <f aca="false">'Income Statement'!L37</f>
        <v>132980.864603256</v>
      </c>
      <c r="M12" s="17" t="n">
        <f aca="false">'Income Statement'!M37</f>
        <v>153388.142629958</v>
      </c>
      <c r="N12" s="17" t="n">
        <f aca="false">'Income Statement'!N37</f>
        <v>177400.123968182</v>
      </c>
    </row>
    <row r="13" customFormat="false" ht="15" hidden="false" customHeight="true" outlineLevel="0" collapsed="false">
      <c r="B13" s="18" t="s">
        <v>41</v>
      </c>
      <c r="D13" s="17" t="n">
        <f aca="false">'Cash Flow Statement'!D27+'Cash Flow Statement'!D30</f>
        <v>38260</v>
      </c>
      <c r="E13" s="17" t="n">
        <f aca="false">'Cash Flow Statement'!E27+'Cash Flow Statement'!E30</f>
        <v>45234</v>
      </c>
      <c r="F13" s="17" t="n">
        <f aca="false">'Cash Flow Statement'!F27+'Cash Flow Statement'!F30</f>
        <v>56118</v>
      </c>
      <c r="G13" s="17" t="n">
        <f aca="false">'Cash Flow Statement'!G27+'Cash Flow Statement'!G30</f>
        <v>65149</v>
      </c>
      <c r="H13" s="17" t="n">
        <f aca="false">'Cash Flow Statement'!H27+'Cash Flow Statement'!H30</f>
        <v>59475</v>
      </c>
      <c r="I13" s="17" t="n">
        <f aca="false">'Cash Flow Statement'!I27+'Cash Flow Statement'!I30</f>
        <v>74071</v>
      </c>
      <c r="J13" s="17" t="n">
        <f aca="false">'Cash Flow Statement'!J27+'Cash Flow Statement'!J30</f>
        <v>88759.7121472431</v>
      </c>
      <c r="K13" s="17" t="n">
        <f aca="false">'Cash Flow Statement'!K27+'Cash Flow Statement'!K30</f>
        <v>101855.698939955</v>
      </c>
      <c r="L13" s="17" t="n">
        <f aca="false">'Cash Flow Statement'!L27+'Cash Flow Statement'!L30</f>
        <v>117214.722941387</v>
      </c>
      <c r="M13" s="17" t="n">
        <f aca="false">'Cash Flow Statement'!M27+'Cash Flow Statement'!M30</f>
        <v>135259.353058151</v>
      </c>
      <c r="N13" s="17" t="n">
        <f aca="false">'Cash Flow Statement'!N27+'Cash Flow Statement'!N30</f>
        <v>156494.138752888</v>
      </c>
    </row>
    <row r="14" customFormat="false" ht="15" hidden="false" customHeight="true" outlineLevel="0" collapsed="false">
      <c r="B14" s="18" t="s">
        <v>42</v>
      </c>
      <c r="D14" s="17" t="n">
        <f aca="false">-'Cash Flow Statement'!D30</f>
        <v>13925</v>
      </c>
      <c r="E14" s="17" t="n">
        <f aca="false">-'Cash Flow Statement'!E30</f>
        <v>15441</v>
      </c>
      <c r="F14" s="17" t="n">
        <f aca="false">-'Cash Flow Statement'!F30</f>
        <v>20622</v>
      </c>
      <c r="G14" s="17" t="n">
        <f aca="false">-'Cash Flow Statement'!G30</f>
        <v>23886</v>
      </c>
      <c r="H14" s="17" t="n">
        <f aca="false">-'Cash Flow Statement'!H30</f>
        <v>28107</v>
      </c>
      <c r="I14" s="17" t="n">
        <f aca="false">-'Cash Flow Statement'!I30</f>
        <v>44477</v>
      </c>
      <c r="J14" s="17" t="n">
        <f aca="false">-'Cash Flow Statement'!J30</f>
        <v>50768.3925110241</v>
      </c>
      <c r="K14" s="17" t="n">
        <f aca="false">-'Cash Flow Statement'!K30</f>
        <v>58132.1646081563</v>
      </c>
      <c r="L14" s="17" t="n">
        <f aca="false">-'Cash Flow Statement'!L30</f>
        <v>66767.1476986875</v>
      </c>
      <c r="M14" s="17" t="n">
        <f aca="false">-'Cash Flow Statement'!M30</f>
        <v>76910.5887675301</v>
      </c>
      <c r="N14" s="17" t="n">
        <f aca="false">-'Cash Flow Statement'!N30</f>
        <v>88845.7482401331</v>
      </c>
    </row>
    <row r="15" customFormat="false" ht="15" hidden="false" customHeight="true" outlineLevel="0" collapsed="false">
      <c r="B15" s="18" t="s">
        <v>43</v>
      </c>
      <c r="D15" s="17" t="n">
        <f aca="false">'Balance Sheet'!D10+'Balance Sheet'!D11</f>
        <v>133819</v>
      </c>
      <c r="E15" s="17" t="n">
        <f aca="false">'Balance Sheet'!E10+'Balance Sheet'!E11</f>
        <v>136527</v>
      </c>
      <c r="F15" s="17" t="n">
        <f aca="false">'Balance Sheet'!F10+'Balance Sheet'!F11</f>
        <v>130334</v>
      </c>
      <c r="G15" s="17" t="n">
        <f aca="false">'Balance Sheet'!G10+'Balance Sheet'!G11</f>
        <v>104757</v>
      </c>
      <c r="H15" s="17" t="n">
        <f aca="false">'Balance Sheet'!H10+'Balance Sheet'!H11</f>
        <v>111262</v>
      </c>
      <c r="I15" s="17" t="n">
        <f aca="false">'Balance Sheet'!I10+'Balance Sheet'!I11</f>
        <v>75543</v>
      </c>
      <c r="J15" s="17" t="n">
        <f aca="false">'Balance Sheet'!J10+'Balance Sheet'!J11</f>
        <v>121958.410117433</v>
      </c>
      <c r="K15" s="17" t="n">
        <f aca="false">'Balance Sheet'!K10+'Balance Sheet'!K11</f>
        <v>175241.479143272</v>
      </c>
      <c r="L15" s="17" t="n">
        <f aca="false">'Balance Sheet'!L10+'Balance Sheet'!L11</f>
        <v>236580.045492387</v>
      </c>
      <c r="M15" s="17" t="n">
        <f aca="false">'Balance Sheet'!M10+'Balance Sheet'!M11</f>
        <v>307383.85139341</v>
      </c>
      <c r="N15" s="17" t="n">
        <f aca="false">'Balance Sheet'!N10+'Balance Sheet'!N11</f>
        <v>389327.604967796</v>
      </c>
    </row>
    <row r="16" customFormat="false" ht="15" hidden="false" customHeight="true" outlineLevel="0" collapsed="false">
      <c r="B16" s="18" t="s">
        <v>44</v>
      </c>
      <c r="D16" s="17" t="n">
        <f aca="false">'Balance Sheet'!D30+'Balance Sheet'!D31+'Balance Sheet'!D39</f>
        <v>72178</v>
      </c>
      <c r="E16" s="17" t="n">
        <f aca="false">'Balance Sheet'!E30+'Balance Sheet'!E31+'Balance Sheet'!E39</f>
        <v>63327</v>
      </c>
      <c r="F16" s="17" t="n">
        <f aca="false">'Balance Sheet'!F30+'Balance Sheet'!F31+'Balance Sheet'!F39</f>
        <v>58146</v>
      </c>
      <c r="G16" s="17" t="n">
        <f aca="false">'Balance Sheet'!G30+'Balance Sheet'!G31+'Balance Sheet'!G39</f>
        <v>49781</v>
      </c>
      <c r="H16" s="17" t="n">
        <f aca="false">'Balance Sheet'!H30+'Balance Sheet'!H31+'Balance Sheet'!H39</f>
        <v>47237</v>
      </c>
      <c r="I16" s="17" t="n">
        <f aca="false">'Balance Sheet'!I30+'Balance Sheet'!I31+'Balance Sheet'!I39</f>
        <v>51630</v>
      </c>
      <c r="J16" s="17" t="n">
        <f aca="false">'Balance Sheet'!J30+'Balance Sheet'!J31+'Balance Sheet'!J39</f>
        <v>51630</v>
      </c>
      <c r="K16" s="17" t="n">
        <f aca="false">'Balance Sheet'!K30+'Balance Sheet'!K31+'Balance Sheet'!K39</f>
        <v>51630</v>
      </c>
      <c r="L16" s="17" t="n">
        <f aca="false">'Balance Sheet'!L30+'Balance Sheet'!L31+'Balance Sheet'!L39</f>
        <v>51630</v>
      </c>
      <c r="M16" s="17" t="n">
        <f aca="false">'Balance Sheet'!M30+'Balance Sheet'!M31+'Balance Sheet'!M39</f>
        <v>51630</v>
      </c>
      <c r="N16" s="17" t="n">
        <f aca="false">'Balance Sheet'!N30+'Balance Sheet'!N31+'Balance Sheet'!N39</f>
        <v>51630</v>
      </c>
    </row>
    <row r="18" customFormat="false" ht="15" hidden="false" customHeight="true" outlineLevel="0" collapsed="false">
      <c r="B18" s="20" t="s">
        <v>45</v>
      </c>
      <c r="C18" s="21"/>
      <c r="D18" s="21"/>
      <c r="E18" s="21"/>
      <c r="F18" s="21"/>
      <c r="G18" s="21"/>
      <c r="H18" s="21"/>
      <c r="I18" s="21"/>
      <c r="J18" s="21"/>
      <c r="K18" s="21"/>
      <c r="L18" s="21"/>
      <c r="M18" s="21"/>
      <c r="N18" s="21"/>
    </row>
    <row r="19" customFormat="false" ht="15" hidden="false" customHeight="true" outlineLevel="0" collapsed="false">
      <c r="B19" s="18" t="s">
        <v>46</v>
      </c>
      <c r="D19" s="22" t="n">
        <f aca="false">'DCF Valuation'!J43</f>
        <v>1649951.37202737</v>
      </c>
    </row>
    <row r="20" customFormat="false" ht="15" hidden="false" customHeight="true" outlineLevel="0" collapsed="false">
      <c r="B20" s="18" t="s">
        <v>47</v>
      </c>
      <c r="D20" s="23" t="n">
        <f aca="false">'DCF Valuation'!J48</f>
        <v>224.108230288843</v>
      </c>
    </row>
    <row r="21" customFormat="false" ht="15" hidden="false" customHeight="true" outlineLevel="0" collapsed="false">
      <c r="B21" s="18" t="s">
        <v>48</v>
      </c>
      <c r="D21" s="24" t="n">
        <f aca="false">'DCF Valuation'!J30</f>
        <v>0.101849585249073</v>
      </c>
    </row>
    <row r="56" customFormat="false" ht="15" hidden="false" customHeight="true" outlineLevel="0" collapsed="false">
      <c r="B56" s="16" t="s">
        <v>49</v>
      </c>
    </row>
    <row r="57" customFormat="false" ht="15" hidden="false" customHeight="true" outlineLevel="0" collapsed="false">
      <c r="B57" s="1" t="s">
        <v>50</v>
      </c>
      <c r="D57" s="22" t="n">
        <f aca="false">'Income Statement'!I8</f>
        <v>77728</v>
      </c>
    </row>
    <row r="58" customFormat="false" ht="15" hidden="false" customHeight="true" outlineLevel="0" collapsed="false">
      <c r="B58" s="1" t="s">
        <v>51</v>
      </c>
      <c r="D58" s="22" t="n">
        <f aca="false">'Income Statement'!I9</f>
        <v>105362</v>
      </c>
    </row>
    <row r="59" customFormat="false" ht="15" hidden="false" customHeight="true" outlineLevel="0" collapsed="false">
      <c r="B59" s="1" t="s">
        <v>52</v>
      </c>
      <c r="D59" s="22" t="n">
        <f aca="false">'Income Statement'!I10</f>
        <v>62032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0"/>
    <col collapsed="false" customWidth="true" hidden="false" outlineLevel="0" max="3" min="3" style="1" width="2"/>
    <col collapsed="false" customWidth="true" hidden="false" outlineLevel="0" max="14" min="4" style="1" width="12"/>
    <col collapsed="false" customWidth="true" hidden="false" outlineLevel="0" max="16" min="16" style="1" width="3"/>
    <col collapsed="false" customWidth="true" hidden="false" outlineLevel="0" max="17" min="17" style="1" width="45"/>
    <col collapsed="false" customWidth="true" hidden="false" outlineLevel="0" max="18" min="18" style="1" width="55"/>
  </cols>
  <sheetData>
    <row r="1" customFormat="false" ht="17.25" hidden="false" customHeight="true" outlineLevel="0" collapsed="false">
      <c r="A1" s="25" t="s">
        <v>0</v>
      </c>
    </row>
    <row r="2" customFormat="false" ht="15" hidden="false" customHeight="true" outlineLevel="0" collapsed="false">
      <c r="A2" s="11" t="s">
        <v>9</v>
      </c>
    </row>
    <row r="3" customFormat="false" ht="15" hidden="false" customHeight="true" outlineLevel="0" collapsed="false">
      <c r="A3" s="12" t="s">
        <v>53</v>
      </c>
    </row>
    <row r="4" customFormat="false" ht="15" hidden="false" customHeight="true" outlineLevel="0" collapsed="false">
      <c r="D4" s="13" t="s">
        <v>32</v>
      </c>
      <c r="E4" s="13" t="s">
        <v>32</v>
      </c>
      <c r="F4" s="13" t="s">
        <v>32</v>
      </c>
      <c r="G4" s="13" t="s">
        <v>32</v>
      </c>
      <c r="H4" s="13" t="s">
        <v>32</v>
      </c>
      <c r="I4" s="13" t="s">
        <v>32</v>
      </c>
      <c r="J4" s="14" t="s">
        <v>33</v>
      </c>
      <c r="K4" s="14" t="s">
        <v>33</v>
      </c>
      <c r="L4" s="14" t="s">
        <v>33</v>
      </c>
      <c r="M4" s="14" t="s">
        <v>33</v>
      </c>
      <c r="N4" s="14" t="s">
        <v>33</v>
      </c>
    </row>
    <row r="5" customFormat="false" ht="15" hidden="false" customHeight="true" outlineLevel="0" collapsed="false">
      <c r="D5" s="15" t="n">
        <v>2019</v>
      </c>
      <c r="E5" s="15" t="n">
        <v>2020</v>
      </c>
      <c r="F5" s="15" t="n">
        <v>2021</v>
      </c>
      <c r="G5" s="15" t="n">
        <v>2022</v>
      </c>
      <c r="H5" s="15" t="n">
        <v>2023</v>
      </c>
      <c r="I5" s="15" t="n">
        <v>2024</v>
      </c>
      <c r="J5" s="15" t="n">
        <v>2025</v>
      </c>
      <c r="K5" s="15" t="n">
        <v>2026</v>
      </c>
      <c r="L5" s="15" t="n">
        <v>2027</v>
      </c>
      <c r="M5" s="15" t="n">
        <v>2028</v>
      </c>
      <c r="N5" s="15" t="n">
        <v>2029</v>
      </c>
    </row>
    <row r="7" customFormat="false" ht="15" hidden="false" customHeight="true" outlineLevel="0" collapsed="false">
      <c r="B7" s="26" t="s">
        <v>54</v>
      </c>
    </row>
    <row r="8" customFormat="false" ht="15" hidden="false" customHeight="true" outlineLevel="0" collapsed="false">
      <c r="B8" s="18" t="s">
        <v>50</v>
      </c>
      <c r="D8" s="27" t="n">
        <v>41160</v>
      </c>
      <c r="E8" s="27" t="n">
        <v>46398</v>
      </c>
      <c r="F8" s="27" t="n">
        <v>53915</v>
      </c>
      <c r="G8" s="27" t="n">
        <v>63364</v>
      </c>
      <c r="H8" s="27" t="n">
        <v>69274</v>
      </c>
      <c r="I8" s="27" t="n">
        <v>77728</v>
      </c>
      <c r="J8" s="28" t="n">
        <f aca="false">I8*(1+J48)</f>
        <v>87807.8724137491</v>
      </c>
      <c r="K8" s="28" t="n">
        <f aca="false">J8*(1+K48)</f>
        <v>99194.9163471239</v>
      </c>
      <c r="L8" s="28" t="n">
        <f aca="false">K8*(1+L48)</f>
        <v>112058.647574886</v>
      </c>
      <c r="M8" s="28" t="n">
        <f aca="false">L8*(1+M48)</f>
        <v>126590.564907278</v>
      </c>
      <c r="N8" s="28" t="n">
        <f aca="false">M8*(1+N48)</f>
        <v>143007.000979862</v>
      </c>
      <c r="Q8" s="29" t="s">
        <v>55</v>
      </c>
    </row>
    <row r="9" customFormat="false" ht="15" hidden="false" customHeight="true" outlineLevel="0" collapsed="false">
      <c r="B9" s="18" t="s">
        <v>51</v>
      </c>
      <c r="D9" s="27" t="n">
        <v>38985</v>
      </c>
      <c r="E9" s="27" t="n">
        <v>48366</v>
      </c>
      <c r="F9" s="27" t="n">
        <v>60080</v>
      </c>
      <c r="G9" s="27" t="n">
        <v>75251</v>
      </c>
      <c r="H9" s="27" t="n">
        <v>87907</v>
      </c>
      <c r="I9" s="27" t="n">
        <v>105362</v>
      </c>
      <c r="J9" s="28" t="n">
        <f aca="false">I9*(1+J49)</f>
        <v>127058.00535123</v>
      </c>
      <c r="K9" s="28" t="n">
        <f aca="false">J9*(1+K49)</f>
        <v>153221.623771694</v>
      </c>
      <c r="L9" s="28" t="n">
        <f aca="false">K9*(1+L49)</f>
        <v>184772.820306258</v>
      </c>
      <c r="M9" s="28" t="n">
        <f aca="false">L9*(1+M49)</f>
        <v>222820.997999605</v>
      </c>
      <c r="N9" s="28" t="n">
        <f aca="false">M9*(1+N49)</f>
        <v>268704.006721591</v>
      </c>
    </row>
    <row r="10" customFormat="false" ht="15" hidden="false" customHeight="true" outlineLevel="0" collapsed="false">
      <c r="B10" s="18" t="s">
        <v>52</v>
      </c>
      <c r="D10" s="27" t="n">
        <v>45698</v>
      </c>
      <c r="E10" s="27" t="n">
        <v>48251</v>
      </c>
      <c r="F10" s="27" t="n">
        <v>54093</v>
      </c>
      <c r="G10" s="27" t="n">
        <v>59655</v>
      </c>
      <c r="H10" s="27" t="n">
        <v>54734</v>
      </c>
      <c r="I10" s="27" t="n">
        <v>62032</v>
      </c>
      <c r="J10" s="28" t="n">
        <f aca="false">I10*(1+J50)</f>
        <v>64929.2952252688</v>
      </c>
      <c r="K10" s="28" t="n">
        <f aca="false">J10*(1+K50)</f>
        <v>67961.9128586876</v>
      </c>
      <c r="L10" s="28" t="n">
        <f aca="false">K10*(1+L50)</f>
        <v>71136.1733311149</v>
      </c>
      <c r="M10" s="28" t="n">
        <f aca="false">L10*(1+M50)</f>
        <v>74458.6922783701</v>
      </c>
      <c r="N10" s="28" t="n">
        <f aca="false">M10*(1+N50)</f>
        <v>77936.3943292129</v>
      </c>
    </row>
    <row r="11" customFormat="false" ht="15" hidden="false" customHeight="true" outlineLevel="0" collapsed="false">
      <c r="B11" s="16" t="s">
        <v>56</v>
      </c>
      <c r="D11" s="30" t="n">
        <f aca="false">SUM(D8:D10)</f>
        <v>125843</v>
      </c>
      <c r="E11" s="30" t="n">
        <f aca="false">SUM(E8:E10)</f>
        <v>143015</v>
      </c>
      <c r="F11" s="30" t="n">
        <f aca="false">SUM(F8:F10)</f>
        <v>168088</v>
      </c>
      <c r="G11" s="30" t="n">
        <f aca="false">SUM(G8:G10)</f>
        <v>198270</v>
      </c>
      <c r="H11" s="30" t="n">
        <f aca="false">SUM(H8:H10)</f>
        <v>211915</v>
      </c>
      <c r="I11" s="30" t="n">
        <f aca="false">SUM(I8:I10)</f>
        <v>245122</v>
      </c>
      <c r="J11" s="30" t="n">
        <f aca="false">SUM(J8:J10)</f>
        <v>279795.172990248</v>
      </c>
      <c r="K11" s="30" t="n">
        <f aca="false">SUM(K8:K10)</f>
        <v>320378.452977505</v>
      </c>
      <c r="L11" s="30" t="n">
        <f aca="false">SUM(L8:L10)</f>
        <v>367967.64121226</v>
      </c>
      <c r="M11" s="30" t="n">
        <f aca="false">SUM(M8:M10)</f>
        <v>423870.255185253</v>
      </c>
      <c r="N11" s="30" t="n">
        <f aca="false">SUM(N8:N10)</f>
        <v>489647.402030666</v>
      </c>
    </row>
    <row r="12" customFormat="false" ht="15" hidden="false" customHeight="true" outlineLevel="0" collapsed="false">
      <c r="B12" s="31" t="s">
        <v>57</v>
      </c>
      <c r="E12" s="32" t="n">
        <f aca="false">E11/D11-1</f>
        <v>0.136455742472764</v>
      </c>
      <c r="F12" s="32" t="n">
        <f aca="false">F11/E11-1</f>
        <v>0.175317274411775</v>
      </c>
      <c r="G12" s="32" t="n">
        <f aca="false">G11/F11-1</f>
        <v>0.179560706296702</v>
      </c>
      <c r="H12" s="32" t="n">
        <f aca="false">H11/G11-1</f>
        <v>0.0688202955565642</v>
      </c>
      <c r="I12" s="32" t="n">
        <f aca="false">I11/H11-1</f>
        <v>0.156699620130713</v>
      </c>
      <c r="J12" s="32" t="n">
        <f aca="false">J11/I11-1</f>
        <v>0.14145271738256</v>
      </c>
      <c r="K12" s="32" t="n">
        <f aca="false">K11/J11-1</f>
        <v>0.14504639073481</v>
      </c>
      <c r="L12" s="32" t="n">
        <f aca="false">L11/K11-1</f>
        <v>0.148540539454119</v>
      </c>
      <c r="M12" s="32" t="n">
        <f aca="false">M11/L11-1</f>
        <v>0.151922635884025</v>
      </c>
      <c r="N12" s="32" t="n">
        <f aca="false">N11/M11-1</f>
        <v>0.155182266367486</v>
      </c>
    </row>
    <row r="14" customFormat="false" ht="15" hidden="false" customHeight="true" outlineLevel="0" collapsed="false">
      <c r="B14" s="26" t="s">
        <v>58</v>
      </c>
    </row>
    <row r="15" customFormat="false" ht="15" hidden="false" customHeight="true" outlineLevel="0" collapsed="false">
      <c r="B15" s="18" t="s">
        <v>59</v>
      </c>
      <c r="D15" s="27" t="n">
        <v>16273</v>
      </c>
      <c r="E15" s="27" t="n">
        <v>16017</v>
      </c>
      <c r="F15" s="27" t="n">
        <v>18219</v>
      </c>
      <c r="G15" s="27" t="n">
        <v>19064</v>
      </c>
      <c r="H15" s="27" t="n">
        <v>17804</v>
      </c>
      <c r="I15" s="27" t="n">
        <v>15272</v>
      </c>
      <c r="J15" s="33" t="s">
        <v>60</v>
      </c>
      <c r="K15" s="33"/>
      <c r="L15" s="33"/>
      <c r="M15" s="33"/>
      <c r="N15" s="33"/>
      <c r="Q15" s="29" t="s">
        <v>61</v>
      </c>
    </row>
    <row r="16" customFormat="false" ht="15" hidden="false" customHeight="true" outlineLevel="0" collapsed="false">
      <c r="B16" s="18" t="s">
        <v>62</v>
      </c>
      <c r="D16" s="27" t="n">
        <v>26637</v>
      </c>
      <c r="E16" s="27" t="n">
        <v>30061</v>
      </c>
      <c r="F16" s="27" t="n">
        <v>34013</v>
      </c>
      <c r="G16" s="27" t="n">
        <v>43586</v>
      </c>
      <c r="H16" s="27" t="n">
        <v>48059</v>
      </c>
      <c r="I16" s="27" t="n">
        <v>58842</v>
      </c>
    </row>
    <row r="17" customFormat="false" ht="15" hidden="false" customHeight="true" outlineLevel="0" collapsed="false">
      <c r="B17" s="16" t="s">
        <v>63</v>
      </c>
      <c r="D17" s="30" t="n">
        <f aca="false">SUM(D15:D16)</f>
        <v>42910</v>
      </c>
      <c r="E17" s="30" t="n">
        <f aca="false">SUM(E15:E16)</f>
        <v>46078</v>
      </c>
      <c r="F17" s="30" t="n">
        <f aca="false">SUM(F15:F16)</f>
        <v>52232</v>
      </c>
      <c r="G17" s="30" t="n">
        <f aca="false">SUM(G15:G16)</f>
        <v>62650</v>
      </c>
      <c r="H17" s="30" t="n">
        <f aca="false">SUM(H15:H16)</f>
        <v>65863</v>
      </c>
      <c r="I17" s="30" t="n">
        <f aca="false">SUM(I15:I16)</f>
        <v>74114</v>
      </c>
      <c r="J17" s="30" t="n">
        <f aca="false">J11*J51</f>
        <v>84597.626696091</v>
      </c>
      <c r="K17" s="30" t="n">
        <f aca="false">K11*K51</f>
        <v>96868.2071130899</v>
      </c>
      <c r="L17" s="30" t="n">
        <f aca="false">L11*L51</f>
        <v>111257.062853622</v>
      </c>
      <c r="M17" s="30" t="n">
        <f aca="false">M11*M51</f>
        <v>128159.529103058</v>
      </c>
      <c r="N17" s="30" t="n">
        <f aca="false">N11*N51</f>
        <v>148047.615285861</v>
      </c>
    </row>
    <row r="18" customFormat="false" ht="15" hidden="false" customHeight="true" outlineLevel="0" collapsed="false">
      <c r="B18" s="31" t="s">
        <v>64</v>
      </c>
      <c r="D18" s="32" t="n">
        <f aca="false">D17/D11</f>
        <v>0.340980427993611</v>
      </c>
      <c r="E18" s="32" t="n">
        <f aca="false">E17/E11</f>
        <v>0.32218998007202</v>
      </c>
      <c r="F18" s="32" t="n">
        <f aca="false">F17/F11</f>
        <v>0.310741992289753</v>
      </c>
      <c r="G18" s="32" t="n">
        <f aca="false">G17/G11</f>
        <v>0.315983255157109</v>
      </c>
      <c r="H18" s="32" t="n">
        <f aca="false">H17/H11</f>
        <v>0.31079914116509</v>
      </c>
      <c r="I18" s="32" t="n">
        <f aca="false">I17/I11</f>
        <v>0.302355561720286</v>
      </c>
      <c r="J18" s="32" t="n">
        <f aca="false">J17/J11</f>
        <v>0.302355561720286</v>
      </c>
      <c r="K18" s="32" t="n">
        <f aca="false">K17/K11</f>
        <v>0.302355561720286</v>
      </c>
      <c r="L18" s="32" t="n">
        <f aca="false">L17/L11</f>
        <v>0.302355561720286</v>
      </c>
      <c r="M18" s="32" t="n">
        <f aca="false">M17/M11</f>
        <v>0.302355561720286</v>
      </c>
      <c r="N18" s="32" t="n">
        <f aca="false">N17/N11</f>
        <v>0.302355561720286</v>
      </c>
    </row>
    <row r="20" customFormat="false" ht="15" hidden="false" customHeight="true" outlineLevel="0" collapsed="false">
      <c r="B20" s="26" t="s">
        <v>65</v>
      </c>
      <c r="D20" s="30" t="n">
        <f aca="false">D11-D17</f>
        <v>82933</v>
      </c>
      <c r="E20" s="30" t="n">
        <f aca="false">E11-E17</f>
        <v>96937</v>
      </c>
      <c r="F20" s="30" t="n">
        <f aca="false">F11-F17</f>
        <v>115856</v>
      </c>
      <c r="G20" s="30" t="n">
        <f aca="false">G11-G17</f>
        <v>135620</v>
      </c>
      <c r="H20" s="30" t="n">
        <f aca="false">H11-H17</f>
        <v>146052</v>
      </c>
      <c r="I20" s="30" t="n">
        <f aca="false">I11-I17</f>
        <v>171008</v>
      </c>
      <c r="J20" s="30" t="n">
        <f aca="false">J11-J17</f>
        <v>195197.546294157</v>
      </c>
      <c r="K20" s="30" t="n">
        <f aca="false">K11-K17</f>
        <v>223510.245864415</v>
      </c>
      <c r="L20" s="30" t="n">
        <f aca="false">L11-L17</f>
        <v>256710.578358638</v>
      </c>
      <c r="M20" s="30" t="n">
        <f aca="false">M11-M17</f>
        <v>295710.726082195</v>
      </c>
      <c r="N20" s="30" t="n">
        <f aca="false">N11-N17</f>
        <v>341599.786744805</v>
      </c>
    </row>
    <row r="21" customFormat="false" ht="15" hidden="false" customHeight="true" outlineLevel="0" collapsed="false">
      <c r="B21" s="31" t="s">
        <v>36</v>
      </c>
      <c r="D21" s="32" t="n">
        <f aca="false">D20/D11</f>
        <v>0.659019572006389</v>
      </c>
      <c r="E21" s="32" t="n">
        <f aca="false">E20/E11</f>
        <v>0.67781001992798</v>
      </c>
      <c r="F21" s="32" t="n">
        <f aca="false">F20/F11</f>
        <v>0.689258007710247</v>
      </c>
      <c r="G21" s="32" t="n">
        <f aca="false">G20/G11</f>
        <v>0.684016744842891</v>
      </c>
      <c r="H21" s="32" t="n">
        <f aca="false">H20/H11</f>
        <v>0.68920085883491</v>
      </c>
      <c r="I21" s="32" t="n">
        <f aca="false">I20/I11</f>
        <v>0.697644438279714</v>
      </c>
      <c r="J21" s="32" t="n">
        <f aca="false">J20/J11</f>
        <v>0.697644438279714</v>
      </c>
      <c r="K21" s="32" t="n">
        <f aca="false">K20/K11</f>
        <v>0.697644438279714</v>
      </c>
      <c r="L21" s="32" t="n">
        <f aca="false">L20/L11</f>
        <v>0.697644438279714</v>
      </c>
      <c r="M21" s="32" t="n">
        <f aca="false">M20/M11</f>
        <v>0.697644438279714</v>
      </c>
      <c r="N21" s="32" t="n">
        <f aca="false">N20/N11</f>
        <v>0.697644438279714</v>
      </c>
    </row>
    <row r="23" customFormat="false" ht="15" hidden="false" customHeight="true" outlineLevel="0" collapsed="false">
      <c r="B23" s="26" t="s">
        <v>66</v>
      </c>
    </row>
    <row r="24" customFormat="false" ht="15" hidden="false" customHeight="true" outlineLevel="0" collapsed="false">
      <c r="B24" s="18" t="s">
        <v>67</v>
      </c>
      <c r="D24" s="27" t="n">
        <v>16876</v>
      </c>
      <c r="E24" s="27" t="n">
        <v>19269</v>
      </c>
      <c r="F24" s="27" t="n">
        <v>20716</v>
      </c>
      <c r="G24" s="27" t="n">
        <v>24512</v>
      </c>
      <c r="H24" s="27" t="n">
        <v>27195</v>
      </c>
      <c r="I24" s="27" t="n">
        <v>29510</v>
      </c>
      <c r="J24" s="28" t="n">
        <f aca="false">J11*J52</f>
        <v>33684.2696899593</v>
      </c>
      <c r="K24" s="28" t="n">
        <f aca="false">K11*K52</f>
        <v>38570.0514330259</v>
      </c>
      <c r="L24" s="28" t="n">
        <f aca="false">L11*L52</f>
        <v>44299.2676796607</v>
      </c>
      <c r="M24" s="28" t="n">
        <f aca="false">M11*M52</f>
        <v>51029.3291932867</v>
      </c>
      <c r="N24" s="28" t="n">
        <f aca="false">N11*N52</f>
        <v>58948.1761487135</v>
      </c>
      <c r="Q24" s="29" t="s">
        <v>68</v>
      </c>
    </row>
    <row r="25" customFormat="false" ht="15" hidden="false" customHeight="true" outlineLevel="0" collapsed="false">
      <c r="B25" s="18" t="s">
        <v>69</v>
      </c>
      <c r="D25" s="27" t="n">
        <v>18213</v>
      </c>
      <c r="E25" s="27" t="n">
        <v>19598</v>
      </c>
      <c r="F25" s="27" t="n">
        <v>20117</v>
      </c>
      <c r="G25" s="27" t="n">
        <v>21825</v>
      </c>
      <c r="H25" s="27" t="n">
        <v>22759</v>
      </c>
      <c r="I25" s="27" t="n">
        <v>24456</v>
      </c>
      <c r="J25" s="28" t="n">
        <f aca="false">J11*J53</f>
        <v>27915.3676563079</v>
      </c>
      <c r="K25" s="28" t="n">
        <f aca="false">K11*K53</f>
        <v>31964.3909808906</v>
      </c>
      <c r="L25" s="28" t="n">
        <f aca="false">L11*L53</f>
        <v>36712.3988605145</v>
      </c>
      <c r="M25" s="28" t="n">
        <f aca="false">M11*M53</f>
        <v>42289.8432650295</v>
      </c>
      <c r="N25" s="28" t="n">
        <f aca="false">N11*N53</f>
        <v>48852.4769872225</v>
      </c>
    </row>
    <row r="26" customFormat="false" ht="15" hidden="false" customHeight="true" outlineLevel="0" collapsed="false">
      <c r="B26" s="18" t="s">
        <v>70</v>
      </c>
      <c r="D26" s="27" t="n">
        <v>4885</v>
      </c>
      <c r="E26" s="27" t="n">
        <v>5111</v>
      </c>
      <c r="F26" s="27" t="n">
        <v>5107</v>
      </c>
      <c r="G26" s="27" t="n">
        <v>5900</v>
      </c>
      <c r="H26" s="27" t="n">
        <v>7575</v>
      </c>
      <c r="I26" s="27" t="n">
        <v>7609</v>
      </c>
      <c r="J26" s="28" t="n">
        <f aca="false">J11*J54</f>
        <v>8685.3137265639</v>
      </c>
      <c r="K26" s="28" t="n">
        <f aca="false">K11*K54</f>
        <v>9945.0871350015</v>
      </c>
      <c r="L26" s="28" t="n">
        <f aca="false">L11*L54</f>
        <v>11422.3357429528</v>
      </c>
      <c r="M26" s="28" t="n">
        <f aca="false">M11*M54</f>
        <v>13157.6470969745</v>
      </c>
      <c r="N26" s="28" t="n">
        <f aca="false">N11*N54</f>
        <v>15199.4805935466</v>
      </c>
    </row>
    <row r="27" customFormat="false" ht="15" hidden="false" customHeight="true" outlineLevel="0" collapsed="false">
      <c r="B27" s="16" t="s">
        <v>71</v>
      </c>
      <c r="D27" s="30" t="n">
        <f aca="false">SUM(D24:D26)</f>
        <v>39974</v>
      </c>
      <c r="E27" s="30" t="n">
        <f aca="false">SUM(E24:E26)</f>
        <v>43978</v>
      </c>
      <c r="F27" s="30" t="n">
        <f aca="false">SUM(F24:F26)</f>
        <v>45940</v>
      </c>
      <c r="G27" s="30" t="n">
        <f aca="false">SUM(G24:G26)</f>
        <v>52237</v>
      </c>
      <c r="H27" s="30" t="n">
        <f aca="false">SUM(H24:H26)</f>
        <v>57529</v>
      </c>
      <c r="I27" s="30" t="n">
        <f aca="false">SUM(I24:I26)</f>
        <v>61575</v>
      </c>
      <c r="J27" s="30" t="n">
        <f aca="false">SUM(J24:J26)</f>
        <v>70284.9510728311</v>
      </c>
      <c r="K27" s="30" t="n">
        <f aca="false">SUM(K24:K26)</f>
        <v>80479.529548918</v>
      </c>
      <c r="L27" s="30" t="n">
        <f aca="false">SUM(L24:L26)</f>
        <v>92434.002283128</v>
      </c>
      <c r="M27" s="30" t="n">
        <f aca="false">SUM(M24:M26)</f>
        <v>106476.819555291</v>
      </c>
      <c r="N27" s="30" t="n">
        <f aca="false">SUM(N24:N26)</f>
        <v>123000.133729483</v>
      </c>
    </row>
    <row r="29" customFormat="false" ht="15" hidden="false" customHeight="true" outlineLevel="0" collapsed="false">
      <c r="B29" s="26" t="s">
        <v>72</v>
      </c>
      <c r="D29" s="30" t="n">
        <f aca="false">D20-D27</f>
        <v>42959</v>
      </c>
      <c r="E29" s="30" t="n">
        <f aca="false">E20-E27</f>
        <v>52959</v>
      </c>
      <c r="F29" s="30" t="n">
        <f aca="false">F20-F27</f>
        <v>69916</v>
      </c>
      <c r="G29" s="30" t="n">
        <f aca="false">G20-G27</f>
        <v>83383</v>
      </c>
      <c r="H29" s="30" t="n">
        <f aca="false">H20-H27</f>
        <v>88523</v>
      </c>
      <c r="I29" s="30" t="n">
        <f aca="false">I20-I27</f>
        <v>109433</v>
      </c>
      <c r="J29" s="30" t="n">
        <f aca="false">J20-J27</f>
        <v>124912.595221326</v>
      </c>
      <c r="K29" s="30" t="n">
        <f aca="false">K20-K27</f>
        <v>143030.716315497</v>
      </c>
      <c r="L29" s="30" t="n">
        <f aca="false">L20-L27</f>
        <v>164276.57607551</v>
      </c>
      <c r="M29" s="30" t="n">
        <f aca="false">M20-M27</f>
        <v>189233.906526904</v>
      </c>
      <c r="N29" s="30" t="n">
        <f aca="false">N20-N27</f>
        <v>218599.653015322</v>
      </c>
    </row>
    <row r="30" customFormat="false" ht="15" hidden="false" customHeight="true" outlineLevel="0" collapsed="false">
      <c r="B30" s="31" t="s">
        <v>37</v>
      </c>
      <c r="D30" s="32" t="n">
        <f aca="false">D29/D11</f>
        <v>0.341369802054942</v>
      </c>
      <c r="E30" s="32" t="n">
        <f aca="false">E29/E11</f>
        <v>0.370303814285215</v>
      </c>
      <c r="F30" s="32" t="n">
        <f aca="false">F29/F11</f>
        <v>0.415948788729713</v>
      </c>
      <c r="G30" s="32" t="n">
        <f aca="false">G29/G11</f>
        <v>0.420552781560498</v>
      </c>
      <c r="H30" s="32" t="n">
        <f aca="false">H29/H11</f>
        <v>0.417728806361041</v>
      </c>
      <c r="I30" s="32" t="n">
        <f aca="false">I29/I11</f>
        <v>0.446442995732737</v>
      </c>
      <c r="J30" s="32" t="n">
        <f aca="false">J29/J11</f>
        <v>0.446442995732737</v>
      </c>
      <c r="K30" s="32" t="n">
        <f aca="false">K29/K11</f>
        <v>0.446442995732737</v>
      </c>
      <c r="L30" s="32" t="n">
        <f aca="false">L29/L11</f>
        <v>0.446442995732737</v>
      </c>
      <c r="M30" s="32" t="n">
        <f aca="false">M29/M11</f>
        <v>0.446442995732737</v>
      </c>
      <c r="N30" s="32" t="n">
        <f aca="false">N29/N11</f>
        <v>0.446442995732737</v>
      </c>
    </row>
    <row r="32" customFormat="false" ht="15" hidden="false" customHeight="true" outlineLevel="0" collapsed="false">
      <c r="B32" s="18" t="s">
        <v>73</v>
      </c>
      <c r="D32" s="27" t="n">
        <v>729</v>
      </c>
      <c r="E32" s="27" t="n">
        <v>77</v>
      </c>
      <c r="F32" s="27" t="n">
        <v>1186</v>
      </c>
      <c r="G32" s="27" t="n">
        <v>333</v>
      </c>
      <c r="H32" s="27" t="n">
        <v>788</v>
      </c>
      <c r="I32" s="27" t="n">
        <v>-1646</v>
      </c>
      <c r="J32" s="28" t="n">
        <f aca="false">J56</f>
        <v>-1646</v>
      </c>
      <c r="K32" s="28" t="n">
        <f aca="false">K56</f>
        <v>-1646</v>
      </c>
      <c r="L32" s="28" t="n">
        <f aca="false">L56</f>
        <v>-1646</v>
      </c>
      <c r="M32" s="28" t="n">
        <f aca="false">M56</f>
        <v>-1646</v>
      </c>
      <c r="N32" s="28" t="n">
        <f aca="false">N56</f>
        <v>-1646</v>
      </c>
      <c r="Q32" s="29" t="s">
        <v>74</v>
      </c>
    </row>
    <row r="33" customFormat="false" ht="15" hidden="false" customHeight="true" outlineLevel="0" collapsed="false">
      <c r="B33" s="16" t="s">
        <v>75</v>
      </c>
      <c r="D33" s="30" t="n">
        <f aca="false">D29+D32</f>
        <v>43688</v>
      </c>
      <c r="E33" s="30" t="n">
        <f aca="false">E29+E32</f>
        <v>53036</v>
      </c>
      <c r="F33" s="30" t="n">
        <f aca="false">F29+F32</f>
        <v>71102</v>
      </c>
      <c r="G33" s="30" t="n">
        <f aca="false">G29+G32</f>
        <v>83716</v>
      </c>
      <c r="H33" s="30" t="n">
        <f aca="false">H29+H32</f>
        <v>89311</v>
      </c>
      <c r="I33" s="30" t="n">
        <f aca="false">I29+I32</f>
        <v>107787</v>
      </c>
      <c r="J33" s="30" t="n">
        <f aca="false">J29+J32</f>
        <v>123266.595221326</v>
      </c>
      <c r="K33" s="30" t="n">
        <f aca="false">K29+K32</f>
        <v>141384.716315497</v>
      </c>
      <c r="L33" s="30" t="n">
        <f aca="false">L29+L32</f>
        <v>162630.57607551</v>
      </c>
      <c r="M33" s="30" t="n">
        <f aca="false">M29+M32</f>
        <v>187587.906526904</v>
      </c>
      <c r="N33" s="30" t="n">
        <f aca="false">N29+N32</f>
        <v>216953.653015322</v>
      </c>
    </row>
    <row r="34" customFormat="false" ht="15" hidden="false" customHeight="true" outlineLevel="0" collapsed="false">
      <c r="B34" s="18" t="s">
        <v>76</v>
      </c>
      <c r="D34" s="27" t="n">
        <v>4448</v>
      </c>
      <c r="E34" s="27" t="n">
        <v>8755</v>
      </c>
      <c r="F34" s="27" t="n">
        <v>9831</v>
      </c>
      <c r="G34" s="27" t="n">
        <v>10978</v>
      </c>
      <c r="H34" s="27" t="n">
        <v>16950</v>
      </c>
      <c r="I34" s="27" t="n">
        <v>19651</v>
      </c>
      <c r="J34" s="28" t="n">
        <f aca="false">J33*J55</f>
        <v>22473.1355608215</v>
      </c>
      <c r="K34" s="28" t="n">
        <f aca="false">K33*K55</f>
        <v>25776.3093908898</v>
      </c>
      <c r="L34" s="28" t="n">
        <f aca="false">L33*L55</f>
        <v>29649.7114722541</v>
      </c>
      <c r="M34" s="28" t="n">
        <f aca="false">M33*M55</f>
        <v>34199.7638969467</v>
      </c>
      <c r="N34" s="28" t="n">
        <f aca="false">N33*N55</f>
        <v>39553.5290471402</v>
      </c>
    </row>
    <row r="35" customFormat="false" ht="15" hidden="false" customHeight="true" outlineLevel="0" collapsed="false">
      <c r="B35" s="31" t="s">
        <v>77</v>
      </c>
      <c r="D35" s="32" t="n">
        <f aca="false">D34/D33</f>
        <v>0.1018128547885</v>
      </c>
      <c r="E35" s="32" t="n">
        <f aca="false">E34/E33</f>
        <v>0.165076551776152</v>
      </c>
      <c r="F35" s="32" t="n">
        <f aca="false">F34/F33</f>
        <v>0.138266152850834</v>
      </c>
      <c r="G35" s="32" t="n">
        <f aca="false">G34/G33</f>
        <v>0.131133833436858</v>
      </c>
      <c r="H35" s="32" t="n">
        <f aca="false">H34/H33</f>
        <v>0.189786252533283</v>
      </c>
      <c r="I35" s="32" t="n">
        <f aca="false">I34/I33</f>
        <v>0.182313265978272</v>
      </c>
      <c r="J35" s="32" t="n">
        <f aca="false">J34/J33</f>
        <v>0.182313265978272</v>
      </c>
      <c r="K35" s="32" t="n">
        <f aca="false">K34/K33</f>
        <v>0.182313265978272</v>
      </c>
      <c r="L35" s="32" t="n">
        <f aca="false">L34/L33</f>
        <v>0.182313265978272</v>
      </c>
      <c r="M35" s="32" t="n">
        <f aca="false">M34/M33</f>
        <v>0.182313265978272</v>
      </c>
      <c r="N35" s="32" t="n">
        <f aca="false">N34/N33</f>
        <v>0.182313265978272</v>
      </c>
    </row>
    <row r="37" customFormat="false" ht="15" hidden="false" customHeight="true" outlineLevel="0" collapsed="false">
      <c r="B37" s="26" t="s">
        <v>40</v>
      </c>
      <c r="D37" s="30" t="n">
        <f aca="false">D33-D34</f>
        <v>39240</v>
      </c>
      <c r="E37" s="30" t="n">
        <f aca="false">E33-E34</f>
        <v>44281</v>
      </c>
      <c r="F37" s="30" t="n">
        <f aca="false">F33-F34</f>
        <v>61271</v>
      </c>
      <c r="G37" s="30" t="n">
        <f aca="false">G33-G34</f>
        <v>72738</v>
      </c>
      <c r="H37" s="30" t="n">
        <f aca="false">H33-H34</f>
        <v>72361</v>
      </c>
      <c r="I37" s="30" t="n">
        <f aca="false">I33-I34</f>
        <v>88136</v>
      </c>
      <c r="J37" s="30" t="n">
        <f aca="false">J33-J34</f>
        <v>100793.459660504</v>
      </c>
      <c r="K37" s="30" t="n">
        <f aca="false">K33-K34</f>
        <v>115608.406924607</v>
      </c>
      <c r="L37" s="30" t="n">
        <f aca="false">L33-L34</f>
        <v>132980.864603256</v>
      </c>
      <c r="M37" s="30" t="n">
        <f aca="false">M33-M34</f>
        <v>153388.142629958</v>
      </c>
      <c r="N37" s="30" t="n">
        <f aca="false">N33-N34</f>
        <v>177400.123968182</v>
      </c>
    </row>
    <row r="38" customFormat="false" ht="15" hidden="false" customHeight="true" outlineLevel="0" collapsed="false">
      <c r="B38" s="31" t="s">
        <v>78</v>
      </c>
      <c r="D38" s="32" t="n">
        <f aca="false">D37/D11</f>
        <v>0.311817105440907</v>
      </c>
      <c r="E38" s="32" t="n">
        <f aca="false">E37/E11</f>
        <v>0.3096248645247</v>
      </c>
      <c r="F38" s="32" t="n">
        <f aca="false">F37/F11</f>
        <v>0.364517395649898</v>
      </c>
      <c r="G38" s="32" t="n">
        <f aca="false">G37/G11</f>
        <v>0.366863368134362</v>
      </c>
      <c r="H38" s="32" t="n">
        <f aca="false">H37/H11</f>
        <v>0.341462378783946</v>
      </c>
      <c r="I38" s="32" t="n">
        <f aca="false">I37/I11</f>
        <v>0.35955972944085</v>
      </c>
      <c r="J38" s="32" t="n">
        <f aca="false">J37/J11</f>
        <v>0.36024016634489</v>
      </c>
      <c r="K38" s="32" t="n">
        <f aca="false">K37/K11</f>
        <v>0.360849507356616</v>
      </c>
      <c r="L38" s="32" t="n">
        <f aca="false">L37/L11</f>
        <v>0.36139282292637</v>
      </c>
      <c r="M38" s="32" t="n">
        <f aca="false">M37/M11</f>
        <v>0.36187522184806</v>
      </c>
      <c r="N38" s="32" t="n">
        <f aca="false">N37/N11</f>
        <v>0.362301777222688</v>
      </c>
    </row>
    <row r="39" customFormat="false" ht="15" hidden="false" customHeight="true" outlineLevel="0" collapsed="false">
      <c r="B39" s="18" t="s">
        <v>79</v>
      </c>
      <c r="D39" s="34" t="n">
        <v>7753</v>
      </c>
      <c r="E39" s="34" t="n">
        <v>7683</v>
      </c>
      <c r="F39" s="34" t="n">
        <v>7608</v>
      </c>
      <c r="G39" s="34" t="n">
        <v>7540</v>
      </c>
      <c r="H39" s="34" t="n">
        <v>7472</v>
      </c>
      <c r="I39" s="34" t="n">
        <v>7469</v>
      </c>
      <c r="J39" s="35" t="n">
        <f aca="false">I39</f>
        <v>7469</v>
      </c>
      <c r="K39" s="35" t="n">
        <f aca="false">J39</f>
        <v>7469</v>
      </c>
      <c r="L39" s="35" t="n">
        <f aca="false">K39</f>
        <v>7469</v>
      </c>
      <c r="M39" s="35" t="n">
        <f aca="false">L39</f>
        <v>7469</v>
      </c>
      <c r="N39" s="35" t="n">
        <f aca="false">M39</f>
        <v>7469</v>
      </c>
    </row>
    <row r="40" customFormat="false" ht="15" hidden="false" customHeight="true" outlineLevel="0" collapsed="false">
      <c r="B40" s="18" t="s">
        <v>80</v>
      </c>
      <c r="D40" s="36" t="n">
        <f aca="false">D37/D39</f>
        <v>5.06126660647491</v>
      </c>
      <c r="E40" s="36" t="n">
        <f aca="false">E37/E39</f>
        <v>5.76350383964597</v>
      </c>
      <c r="F40" s="36" t="n">
        <f aca="false">F37/F39</f>
        <v>8.05349631966351</v>
      </c>
      <c r="G40" s="36" t="n">
        <f aca="false">G37/G39</f>
        <v>9.64694960212202</v>
      </c>
      <c r="H40" s="36" t="n">
        <f aca="false">H37/H39</f>
        <v>9.68428800856531</v>
      </c>
      <c r="I40" s="36" t="n">
        <f aca="false">I37/I39</f>
        <v>11.8002409961173</v>
      </c>
      <c r="J40" s="36" t="n">
        <f aca="false">J37/J39</f>
        <v>13.4949069032674</v>
      </c>
      <c r="K40" s="36" t="n">
        <f aca="false">K37/K39</f>
        <v>15.4784317746161</v>
      </c>
      <c r="L40" s="36" t="n">
        <f aca="false">L37/L39</f>
        <v>17.8043733569763</v>
      </c>
      <c r="M40" s="36" t="n">
        <f aca="false">M37/M39</f>
        <v>20.536637117413</v>
      </c>
      <c r="N40" s="36" t="n">
        <f aca="false">N37/N39</f>
        <v>23.7515228234278</v>
      </c>
    </row>
    <row r="42" customFormat="false" ht="15" hidden="false" customHeight="true" outlineLevel="0" collapsed="false">
      <c r="B42" s="37" t="s">
        <v>81</v>
      </c>
      <c r="D42" s="17" t="n">
        <f aca="false">'Cash Flow Statement'!D10</f>
        <v>11682</v>
      </c>
      <c r="E42" s="17" t="n">
        <f aca="false">'Cash Flow Statement'!E10</f>
        <v>12796</v>
      </c>
      <c r="F42" s="17" t="n">
        <f aca="false">'Cash Flow Statement'!F10</f>
        <v>11686</v>
      </c>
      <c r="G42" s="17" t="n">
        <f aca="false">'Cash Flow Statement'!G10</f>
        <v>14460</v>
      </c>
      <c r="H42" s="17" t="n">
        <f aca="false">'Cash Flow Statement'!H10</f>
        <v>13861</v>
      </c>
      <c r="I42" s="17" t="n">
        <f aca="false">'Cash Flow Statement'!I10</f>
        <v>22287</v>
      </c>
      <c r="J42" s="17" t="n">
        <f aca="false">'PP&amp;E Schedule'!J9</f>
        <v>25439.5567123051</v>
      </c>
      <c r="K42" s="17" t="n">
        <f aca="false">'PP&amp;E Schedule'!K9</f>
        <v>29129.4725953185</v>
      </c>
      <c r="L42" s="17" t="n">
        <f aca="false">'PP&amp;E Schedule'!L9</f>
        <v>33456.3801686411</v>
      </c>
      <c r="M42" s="17" t="n">
        <f aca="false">'PP&amp;E Schedule'!M9</f>
        <v>38539.161630999</v>
      </c>
      <c r="N42" s="17" t="n">
        <f aca="false">'PP&amp;E Schedule'!N9</f>
        <v>44519.7560768003</v>
      </c>
    </row>
    <row r="43" customFormat="false" ht="15" hidden="false" customHeight="true" outlineLevel="0" collapsed="false">
      <c r="B43" s="26" t="s">
        <v>38</v>
      </c>
      <c r="D43" s="30" t="n">
        <f aca="false">D29+D42</f>
        <v>54641</v>
      </c>
      <c r="E43" s="30" t="n">
        <f aca="false">E29+E42</f>
        <v>65755</v>
      </c>
      <c r="F43" s="30" t="n">
        <f aca="false">F29+F42</f>
        <v>81602</v>
      </c>
      <c r="G43" s="30" t="n">
        <f aca="false">G29+G42</f>
        <v>97843</v>
      </c>
      <c r="H43" s="30" t="n">
        <f aca="false">H29+H42</f>
        <v>102384</v>
      </c>
      <c r="I43" s="30" t="n">
        <f aca="false">I29+I42</f>
        <v>131720</v>
      </c>
      <c r="J43" s="30" t="n">
        <f aca="false">J29+J42</f>
        <v>150352.151933631</v>
      </c>
      <c r="K43" s="30" t="n">
        <f aca="false">K29+K42</f>
        <v>172160.188910816</v>
      </c>
      <c r="L43" s="30" t="n">
        <f aca="false">L29+L42</f>
        <v>197732.956244151</v>
      </c>
      <c r="M43" s="30" t="n">
        <f aca="false">M29+M42</f>
        <v>227773.068157903</v>
      </c>
      <c r="N43" s="30" t="n">
        <f aca="false">N29+N42</f>
        <v>263119.409092123</v>
      </c>
    </row>
    <row r="44" customFormat="false" ht="15" hidden="false" customHeight="true" outlineLevel="0" collapsed="false">
      <c r="B44" s="31" t="s">
        <v>39</v>
      </c>
      <c r="D44" s="32" t="n">
        <f aca="false">D43/D11</f>
        <v>0.434199756839872</v>
      </c>
      <c r="E44" s="32" t="n">
        <f aca="false">E43/E11</f>
        <v>0.459776946474146</v>
      </c>
      <c r="F44" s="32" t="n">
        <f aca="false">F43/F11</f>
        <v>0.485471895673695</v>
      </c>
      <c r="G44" s="32" t="n">
        <f aca="false">G43/G11</f>
        <v>0.493483633429162</v>
      </c>
      <c r="H44" s="32" t="n">
        <f aca="false">H43/H11</f>
        <v>0.483137106858882</v>
      </c>
      <c r="I44" s="32" t="n">
        <f aca="false">I43/I11</f>
        <v>0.537365067191031</v>
      </c>
      <c r="J44" s="32" t="n">
        <f aca="false">J43/J11</f>
        <v>0.537365067191032</v>
      </c>
      <c r="K44" s="32" t="n">
        <f aca="false">K43/K11</f>
        <v>0.537365067191032</v>
      </c>
      <c r="L44" s="32" t="n">
        <f aca="false">L43/L11</f>
        <v>0.537365067191031</v>
      </c>
      <c r="M44" s="32" t="n">
        <f aca="false">M43/M11</f>
        <v>0.537365067191031</v>
      </c>
      <c r="N44" s="32" t="n">
        <f aca="false">N43/N11</f>
        <v>0.537365067191032</v>
      </c>
    </row>
    <row r="46" customFormat="false" ht="15" hidden="false" customHeight="true" outlineLevel="0" collapsed="false">
      <c r="B46" s="20" t="s">
        <v>82</v>
      </c>
      <c r="C46" s="21"/>
      <c r="D46" s="21"/>
      <c r="E46" s="21"/>
      <c r="F46" s="21"/>
      <c r="G46" s="21"/>
      <c r="H46" s="21"/>
      <c r="I46" s="21"/>
      <c r="J46" s="38" t="str">
        <f aca="false">"Active Scenario:  "&amp;'Scenario Analysis'!$C$3</f>
        <v>Active Scenario:  Base</v>
      </c>
      <c r="K46" s="38"/>
      <c r="L46" s="38"/>
      <c r="M46" s="38"/>
      <c r="N46" s="38"/>
    </row>
    <row r="48" customFormat="false" ht="15" hidden="false" customHeight="true" outlineLevel="0" collapsed="false">
      <c r="B48" s="31" t="s">
        <v>83</v>
      </c>
      <c r="E48" s="32" t="n">
        <f aca="false">E8/D8-1</f>
        <v>0.127259475218659</v>
      </c>
      <c r="F48" s="32" t="n">
        <f aca="false">F8/E8-1</f>
        <v>0.162011293590241</v>
      </c>
      <c r="G48" s="32" t="n">
        <f aca="false">G8/F8-1</f>
        <v>0.17525734953167</v>
      </c>
      <c r="H48" s="32" t="n">
        <f aca="false">H8/G8-1</f>
        <v>0.0932706268543653</v>
      </c>
      <c r="I48" s="32" t="n">
        <f aca="false">I8/H8-1</f>
        <v>0.122037127926784</v>
      </c>
      <c r="J48" s="19" t="n">
        <f aca="false">'Scenario Analysis'!$G$7</f>
        <v>0.129681355672977</v>
      </c>
      <c r="K48" s="19" t="n">
        <f aca="false">'Scenario Analysis'!$G$7</f>
        <v>0.129681355672977</v>
      </c>
      <c r="L48" s="19" t="n">
        <f aca="false">'Scenario Analysis'!$G$7</f>
        <v>0.129681355672977</v>
      </c>
      <c r="M48" s="19" t="n">
        <f aca="false">'Scenario Analysis'!$G$7</f>
        <v>0.129681355672977</v>
      </c>
      <c r="N48" s="19" t="n">
        <f aca="false">'Scenario Analysis'!$G$7</f>
        <v>0.129681355672977</v>
      </c>
    </row>
    <row r="49" customFormat="false" ht="15" hidden="false" customHeight="true" outlineLevel="0" collapsed="false">
      <c r="B49" s="31" t="s">
        <v>84</v>
      </c>
      <c r="E49" s="32" t="n">
        <f aca="false">E9/D9-1</f>
        <v>0.240631011927664</v>
      </c>
      <c r="F49" s="32" t="n">
        <f aca="false">F9/E9-1</f>
        <v>0.242194930322954</v>
      </c>
      <c r="G49" s="32" t="n">
        <f aca="false">G9/F9-1</f>
        <v>0.252513315579228</v>
      </c>
      <c r="H49" s="32" t="n">
        <f aca="false">H9/G9-1</f>
        <v>0.168183811510811</v>
      </c>
      <c r="I49" s="32" t="n">
        <f aca="false">I9/H9-1</f>
        <v>0.198562116782509</v>
      </c>
      <c r="J49" s="19" t="n">
        <f aca="false">'Scenario Analysis'!$G$8</f>
        <v>0.205918693183785</v>
      </c>
      <c r="K49" s="19" t="n">
        <f aca="false">'Scenario Analysis'!$G$8</f>
        <v>0.205918693183785</v>
      </c>
      <c r="L49" s="19" t="n">
        <f aca="false">'Scenario Analysis'!$G$8</f>
        <v>0.205918693183785</v>
      </c>
      <c r="M49" s="19" t="n">
        <f aca="false">'Scenario Analysis'!$G$8</f>
        <v>0.205918693183785</v>
      </c>
      <c r="N49" s="19" t="n">
        <f aca="false">'Scenario Analysis'!$G$8</f>
        <v>0.205918693183785</v>
      </c>
    </row>
    <row r="50" customFormat="false" ht="15" hidden="false" customHeight="true" outlineLevel="0" collapsed="false">
      <c r="B50" s="31" t="s">
        <v>85</v>
      </c>
      <c r="E50" s="32" t="n">
        <f aca="false">E10/D10-1</f>
        <v>0.0558667775394985</v>
      </c>
      <c r="F50" s="32" t="n">
        <f aca="false">F10/E10-1</f>
        <v>0.121075210876459</v>
      </c>
      <c r="G50" s="32" t="n">
        <f aca="false">G10/F10-1</f>
        <v>0.102822916088958</v>
      </c>
      <c r="H50" s="32" t="n">
        <f aca="false">H10/G10-1</f>
        <v>-0.0824909898583522</v>
      </c>
      <c r="I50" s="32" t="n">
        <f aca="false">I10/H10-1</f>
        <v>0.133335769357255</v>
      </c>
      <c r="J50" s="19" t="n">
        <f aca="false">'Scenario Analysis'!$G$9</f>
        <v>0.0467064615886765</v>
      </c>
      <c r="K50" s="19" t="n">
        <f aca="false">'Scenario Analysis'!$G$9</f>
        <v>0.0467064615886765</v>
      </c>
      <c r="L50" s="19" t="n">
        <f aca="false">'Scenario Analysis'!$G$9</f>
        <v>0.0467064615886765</v>
      </c>
      <c r="M50" s="19" t="n">
        <f aca="false">'Scenario Analysis'!$G$9</f>
        <v>0.0467064615886765</v>
      </c>
      <c r="N50" s="19" t="n">
        <f aca="false">'Scenario Analysis'!$G$9</f>
        <v>0.0467064615886765</v>
      </c>
    </row>
    <row r="51" customFormat="false" ht="15" hidden="false" customHeight="true" outlineLevel="0" collapsed="false">
      <c r="B51" s="31" t="s">
        <v>86</v>
      </c>
      <c r="D51" s="32" t="n">
        <f aca="false">D17/D11</f>
        <v>0.340980427993611</v>
      </c>
      <c r="E51" s="32" t="n">
        <f aca="false">E17/E11</f>
        <v>0.32218998007202</v>
      </c>
      <c r="F51" s="32" t="n">
        <f aca="false">F17/F11</f>
        <v>0.310741992289753</v>
      </c>
      <c r="G51" s="32" t="n">
        <f aca="false">G17/G11</f>
        <v>0.315983255157109</v>
      </c>
      <c r="H51" s="32" t="n">
        <f aca="false">H17/H11</f>
        <v>0.31079914116509</v>
      </c>
      <c r="I51" s="32" t="n">
        <f aca="false">I17/I11</f>
        <v>0.302355561720286</v>
      </c>
      <c r="J51" s="19" t="n">
        <f aca="false">'Scenario Analysis'!$G$10</f>
        <v>0.302355561720286</v>
      </c>
      <c r="K51" s="19" t="n">
        <f aca="false">'Scenario Analysis'!$G$10</f>
        <v>0.302355561720286</v>
      </c>
      <c r="L51" s="19" t="n">
        <f aca="false">'Scenario Analysis'!$G$10</f>
        <v>0.302355561720286</v>
      </c>
      <c r="M51" s="19" t="n">
        <f aca="false">'Scenario Analysis'!$G$10</f>
        <v>0.302355561720286</v>
      </c>
      <c r="N51" s="19" t="n">
        <f aca="false">'Scenario Analysis'!$G$10</f>
        <v>0.302355561720286</v>
      </c>
    </row>
    <row r="52" customFormat="false" ht="15" hidden="false" customHeight="true" outlineLevel="0" collapsed="false">
      <c r="B52" s="31" t="s">
        <v>87</v>
      </c>
      <c r="D52" s="32" t="n">
        <f aca="false">D24/D11</f>
        <v>0.134103605285952</v>
      </c>
      <c r="E52" s="32" t="n">
        <f aca="false">E24/E11</f>
        <v>0.134734118798727</v>
      </c>
      <c r="F52" s="32" t="n">
        <f aca="false">F24/F11</f>
        <v>0.123244966922088</v>
      </c>
      <c r="G52" s="32" t="n">
        <f aca="false">G24/G11</f>
        <v>0.123629394260352</v>
      </c>
      <c r="H52" s="32" t="n">
        <f aca="false">H24/H11</f>
        <v>0.128329754854541</v>
      </c>
      <c r="I52" s="32" t="n">
        <f aca="false">I24/I11</f>
        <v>0.120389030768352</v>
      </c>
      <c r="J52" s="19" t="n">
        <f aca="false">'Scenario Analysis'!$G$11</f>
        <v>0.120389030768352</v>
      </c>
      <c r="K52" s="19" t="n">
        <f aca="false">'Scenario Analysis'!$G$11</f>
        <v>0.120389030768352</v>
      </c>
      <c r="L52" s="19" t="n">
        <f aca="false">'Scenario Analysis'!$G$11</f>
        <v>0.120389030768352</v>
      </c>
      <c r="M52" s="19" t="n">
        <f aca="false">'Scenario Analysis'!$G$11</f>
        <v>0.120389030768352</v>
      </c>
      <c r="N52" s="19" t="n">
        <f aca="false">'Scenario Analysis'!$G$11</f>
        <v>0.120389030768352</v>
      </c>
    </row>
    <row r="53" customFormat="false" ht="15" hidden="false" customHeight="true" outlineLevel="0" collapsed="false">
      <c r="B53" s="31" t="s">
        <v>88</v>
      </c>
      <c r="D53" s="32" t="n">
        <f aca="false">D25/D11</f>
        <v>0.144727954673681</v>
      </c>
      <c r="E53" s="32" t="n">
        <f aca="false">E25/E11</f>
        <v>0.137034576792644</v>
      </c>
      <c r="F53" s="32" t="n">
        <f aca="false">F25/F11</f>
        <v>0.119681357384227</v>
      </c>
      <c r="G53" s="32" t="n">
        <f aca="false">G25/G11</f>
        <v>0.110077167498865</v>
      </c>
      <c r="H53" s="32" t="n">
        <f aca="false">H25/H11</f>
        <v>0.107396833636128</v>
      </c>
      <c r="I53" s="32" t="n">
        <f aca="false">I25/I11</f>
        <v>0.0997707264137858</v>
      </c>
      <c r="J53" s="19" t="n">
        <f aca="false">'Scenario Analysis'!$G$12</f>
        <v>0.0997707264137858</v>
      </c>
      <c r="K53" s="19" t="n">
        <f aca="false">'Scenario Analysis'!$G$12</f>
        <v>0.0997707264137858</v>
      </c>
      <c r="L53" s="19" t="n">
        <f aca="false">'Scenario Analysis'!$G$12</f>
        <v>0.0997707264137858</v>
      </c>
      <c r="M53" s="19" t="n">
        <f aca="false">'Scenario Analysis'!$G$12</f>
        <v>0.0997707264137858</v>
      </c>
      <c r="N53" s="19" t="n">
        <f aca="false">'Scenario Analysis'!$G$12</f>
        <v>0.0997707264137858</v>
      </c>
    </row>
    <row r="54" customFormat="false" ht="15" hidden="false" customHeight="true" outlineLevel="0" collapsed="false">
      <c r="B54" s="31" t="s">
        <v>89</v>
      </c>
      <c r="D54" s="32" t="n">
        <f aca="false">D26/D11</f>
        <v>0.0388182099918152</v>
      </c>
      <c r="E54" s="32" t="n">
        <f aca="false">E26/E11</f>
        <v>0.0357375100513932</v>
      </c>
      <c r="F54" s="32" t="n">
        <f aca="false">F26/F11</f>
        <v>0.0303828946742183</v>
      </c>
      <c r="G54" s="32" t="n">
        <f aca="false">G26/G11</f>
        <v>0.0297574015231755</v>
      </c>
      <c r="H54" s="32" t="n">
        <f aca="false">H26/H11</f>
        <v>0.0357454639832008</v>
      </c>
      <c r="I54" s="32" t="n">
        <f aca="false">I26/I11</f>
        <v>0.0310416853648387</v>
      </c>
      <c r="J54" s="19" t="n">
        <f aca="false">'Scenario Analysis'!$G$13</f>
        <v>0.0310416853648387</v>
      </c>
      <c r="K54" s="19" t="n">
        <f aca="false">'Scenario Analysis'!$G$13</f>
        <v>0.0310416853648387</v>
      </c>
      <c r="L54" s="19" t="n">
        <f aca="false">'Scenario Analysis'!$G$13</f>
        <v>0.0310416853648387</v>
      </c>
      <c r="M54" s="19" t="n">
        <f aca="false">'Scenario Analysis'!$G$13</f>
        <v>0.0310416853648387</v>
      </c>
      <c r="N54" s="19" t="n">
        <f aca="false">'Scenario Analysis'!$G$13</f>
        <v>0.0310416853648387</v>
      </c>
    </row>
    <row r="55" customFormat="false" ht="15" hidden="false" customHeight="true" outlineLevel="0" collapsed="false">
      <c r="B55" s="31" t="s">
        <v>77</v>
      </c>
      <c r="D55" s="32" t="n">
        <f aca="false">D34/D33</f>
        <v>0.1018128547885</v>
      </c>
      <c r="E55" s="32" t="n">
        <f aca="false">E34/E33</f>
        <v>0.165076551776152</v>
      </c>
      <c r="F55" s="32" t="n">
        <f aca="false">F34/F33</f>
        <v>0.138266152850834</v>
      </c>
      <c r="G55" s="32" t="n">
        <f aca="false">G34/G33</f>
        <v>0.131133833436858</v>
      </c>
      <c r="H55" s="32" t="n">
        <f aca="false">H34/H33</f>
        <v>0.189786252533283</v>
      </c>
      <c r="I55" s="32" t="n">
        <f aca="false">I34/I33</f>
        <v>0.182313265978272</v>
      </c>
      <c r="J55" s="19" t="n">
        <f aca="false">'Scenario Analysis'!$G$14</f>
        <v>0.182313265978272</v>
      </c>
      <c r="K55" s="19" t="n">
        <f aca="false">'Scenario Analysis'!$G$14</f>
        <v>0.182313265978272</v>
      </c>
      <c r="L55" s="19" t="n">
        <f aca="false">'Scenario Analysis'!$G$14</f>
        <v>0.182313265978272</v>
      </c>
      <c r="M55" s="19" t="n">
        <f aca="false">'Scenario Analysis'!$G$14</f>
        <v>0.182313265978272</v>
      </c>
      <c r="N55" s="19" t="n">
        <f aca="false">'Scenario Analysis'!$G$14</f>
        <v>0.182313265978272</v>
      </c>
    </row>
    <row r="56" customFormat="false" ht="15" hidden="false" customHeight="true" outlineLevel="0" collapsed="false">
      <c r="B56" s="31" t="s">
        <v>90</v>
      </c>
      <c r="J56" s="17" t="n">
        <f aca="false">'Scenario Analysis'!$G$21</f>
        <v>-1646</v>
      </c>
      <c r="K56" s="17" t="n">
        <f aca="false">'Scenario Analysis'!$G$21</f>
        <v>-1646</v>
      </c>
      <c r="L56" s="17" t="n">
        <f aca="false">'Scenario Analysis'!$G$21</f>
        <v>-1646</v>
      </c>
      <c r="M56" s="17" t="n">
        <f aca="false">'Scenario Analysis'!$G$21</f>
        <v>-1646</v>
      </c>
      <c r="N56" s="17" t="n">
        <f aca="false">'Scenario Analysis'!$G$21</f>
        <v>-1646</v>
      </c>
    </row>
  </sheetData>
  <mergeCells count="2">
    <mergeCell ref="J15:N15"/>
    <mergeCell ref="J46:N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2"/>
    <col collapsed="false" customWidth="true" hidden="false" outlineLevel="0" max="3" min="3" style="1" width="2"/>
    <col collapsed="false" customWidth="true" hidden="false" outlineLevel="0" max="14" min="4" style="1" width="12"/>
    <col collapsed="false" customWidth="true" hidden="false" outlineLevel="0" max="16" min="16" style="1" width="3"/>
    <col collapsed="false" customWidth="true" hidden="false" outlineLevel="0" max="17" min="17" style="1" width="45"/>
  </cols>
  <sheetData>
    <row r="1" customFormat="false" ht="17.25" hidden="false" customHeight="true" outlineLevel="0" collapsed="false">
      <c r="A1" s="25" t="s">
        <v>0</v>
      </c>
    </row>
    <row r="2" customFormat="false" ht="15" hidden="false" customHeight="true" outlineLevel="0" collapsed="false">
      <c r="A2" s="11" t="s">
        <v>11</v>
      </c>
    </row>
    <row r="3" customFormat="false" ht="15" hidden="false" customHeight="true" outlineLevel="0" collapsed="false">
      <c r="A3" s="12" t="s">
        <v>53</v>
      </c>
    </row>
    <row r="4" customFormat="false" ht="15" hidden="false" customHeight="true" outlineLevel="0" collapsed="false">
      <c r="D4" s="13" t="s">
        <v>32</v>
      </c>
      <c r="E4" s="13" t="s">
        <v>32</v>
      </c>
      <c r="F4" s="13" t="s">
        <v>32</v>
      </c>
      <c r="G4" s="13" t="s">
        <v>32</v>
      </c>
      <c r="H4" s="13" t="s">
        <v>32</v>
      </c>
      <c r="I4" s="13" t="s">
        <v>32</v>
      </c>
      <c r="J4" s="14" t="s">
        <v>33</v>
      </c>
      <c r="K4" s="14" t="s">
        <v>33</v>
      </c>
      <c r="L4" s="14" t="s">
        <v>33</v>
      </c>
      <c r="M4" s="14" t="s">
        <v>33</v>
      </c>
      <c r="N4" s="14" t="s">
        <v>33</v>
      </c>
    </row>
    <row r="5" customFormat="false" ht="15" hidden="false" customHeight="true" outlineLevel="0" collapsed="false">
      <c r="D5" s="15" t="n">
        <v>2019</v>
      </c>
      <c r="E5" s="15" t="n">
        <v>2020</v>
      </c>
      <c r="F5" s="15" t="n">
        <v>2021</v>
      </c>
      <c r="G5" s="15" t="n">
        <v>2022</v>
      </c>
      <c r="H5" s="15" t="n">
        <v>2023</v>
      </c>
      <c r="I5" s="15" t="n">
        <v>2024</v>
      </c>
      <c r="J5" s="15" t="n">
        <v>2025</v>
      </c>
      <c r="K5" s="15" t="n">
        <v>2026</v>
      </c>
      <c r="L5" s="15" t="n">
        <v>2027</v>
      </c>
      <c r="M5" s="15" t="n">
        <v>2028</v>
      </c>
      <c r="N5" s="15" t="n">
        <v>2029</v>
      </c>
    </row>
    <row r="7" customFormat="false" ht="15" hidden="false" customHeight="true" outlineLevel="0" collapsed="false">
      <c r="B7" s="26" t="s">
        <v>91</v>
      </c>
    </row>
    <row r="9" customFormat="false" ht="15" hidden="false" customHeight="true" outlineLevel="0" collapsed="false">
      <c r="B9" s="39" t="s">
        <v>92</v>
      </c>
    </row>
    <row r="10" customFormat="false" ht="15" hidden="false" customHeight="true" outlineLevel="0" collapsed="false">
      <c r="B10" s="18" t="s">
        <v>93</v>
      </c>
      <c r="D10" s="27" t="n">
        <v>11356</v>
      </c>
      <c r="E10" s="27" t="n">
        <v>13576</v>
      </c>
      <c r="F10" s="27" t="n">
        <v>14224</v>
      </c>
      <c r="G10" s="27" t="n">
        <v>13931</v>
      </c>
      <c r="H10" s="27" t="n">
        <v>34704</v>
      </c>
      <c r="I10" s="27" t="n">
        <v>18315</v>
      </c>
      <c r="J10" s="17" t="n">
        <f aca="false">'Cash Flow Statement'!J50</f>
        <v>56635.3540070642</v>
      </c>
      <c r="K10" s="17" t="n">
        <f aca="false">'Cash Flow Statement'!K50</f>
        <v>100443.549512326</v>
      </c>
      <c r="L10" s="17" t="n">
        <f aca="false">'Cash Flow Statement'!L50</f>
        <v>150671.59104401</v>
      </c>
      <c r="M10" s="17" t="n">
        <f aca="false">'Cash Flow Statement'!M50</f>
        <v>208423.958100512</v>
      </c>
      <c r="N10" s="17" t="n">
        <f aca="false">'Cash Flow Statement'!N50</f>
        <v>275010.891154222</v>
      </c>
      <c r="Q10" s="29" t="s">
        <v>94</v>
      </c>
    </row>
    <row r="11" customFormat="false" ht="15" hidden="false" customHeight="true" outlineLevel="0" collapsed="false">
      <c r="B11" s="18" t="s">
        <v>95</v>
      </c>
      <c r="D11" s="27" t="n">
        <v>122463</v>
      </c>
      <c r="E11" s="27" t="n">
        <v>122951</v>
      </c>
      <c r="F11" s="27" t="n">
        <v>116110</v>
      </c>
      <c r="G11" s="27" t="n">
        <v>90826</v>
      </c>
      <c r="H11" s="27" t="n">
        <v>76558</v>
      </c>
      <c r="I11" s="27" t="n">
        <v>57228</v>
      </c>
      <c r="J11" s="28" t="n">
        <f aca="false">'Income Statement'!J11*J59</f>
        <v>65323.0561103691</v>
      </c>
      <c r="K11" s="28" t="n">
        <f aca="false">'Income Statement'!K11*K59</f>
        <v>74797.9296309457</v>
      </c>
      <c r="L11" s="28" t="n">
        <f aca="false">'Income Statement'!L11*L59</f>
        <v>85908.4544483775</v>
      </c>
      <c r="M11" s="28" t="n">
        <f aca="false">'Income Statement'!M11*M59</f>
        <v>98959.8932928978</v>
      </c>
      <c r="N11" s="28" t="n">
        <f aca="false">'Income Statement'!N11*N59</f>
        <v>114316.713813574</v>
      </c>
    </row>
    <row r="12" customFormat="false" ht="15" hidden="false" customHeight="true" outlineLevel="0" collapsed="false">
      <c r="B12" s="18" t="s">
        <v>96</v>
      </c>
      <c r="D12" s="27" t="n">
        <v>29524</v>
      </c>
      <c r="E12" s="27" t="n">
        <v>32011</v>
      </c>
      <c r="F12" s="27" t="n">
        <v>38043</v>
      </c>
      <c r="G12" s="27" t="n">
        <v>44261</v>
      </c>
      <c r="H12" s="27" t="n">
        <v>48688</v>
      </c>
      <c r="I12" s="27" t="n">
        <v>56924</v>
      </c>
      <c r="J12" s="28" t="n">
        <f aca="false">'Income Statement'!J11*J60</f>
        <v>64976.0544842848</v>
      </c>
      <c r="K12" s="28" t="n">
        <f aca="false">'Income Statement'!K11*K60</f>
        <v>74400.5966714187</v>
      </c>
      <c r="L12" s="28" t="n">
        <f aca="false">'Income Statement'!L11*L60</f>
        <v>85452.1014366996</v>
      </c>
      <c r="M12" s="28" t="n">
        <f aca="false">'Income Statement'!M11*M60</f>
        <v>98434.2099287921</v>
      </c>
      <c r="N12" s="28" t="n">
        <f aca="false">'Income Statement'!N11*N60</f>
        <v>113709.453713635</v>
      </c>
    </row>
    <row r="13" customFormat="false" ht="15" hidden="false" customHeight="true" outlineLevel="0" collapsed="false">
      <c r="B13" s="18" t="s">
        <v>97</v>
      </c>
      <c r="D13" s="27" t="n">
        <v>2063</v>
      </c>
      <c r="E13" s="27" t="n">
        <v>1895</v>
      </c>
      <c r="F13" s="27" t="n">
        <v>2636</v>
      </c>
      <c r="G13" s="27" t="n">
        <v>3742</v>
      </c>
      <c r="H13" s="27" t="n">
        <v>2500</v>
      </c>
      <c r="I13" s="27" t="n">
        <v>1246</v>
      </c>
      <c r="J13" s="28" t="n">
        <f aca="false">'Income Statement'!J17*J61</f>
        <v>1422.25008585867</v>
      </c>
      <c r="K13" s="28" t="n">
        <f aca="false">'Income Statement'!K17*K61</f>
        <v>1628.54232753474</v>
      </c>
      <c r="L13" s="28" t="n">
        <f aca="false">'Income Statement'!L17*L61</f>
        <v>1870.44688339062</v>
      </c>
      <c r="M13" s="28" t="n">
        <f aca="false">'Income Statement'!M17*M61</f>
        <v>2154.61010419638</v>
      </c>
      <c r="N13" s="28" t="n">
        <f aca="false">'Income Statement'!N17*N61</f>
        <v>2488.96738330386</v>
      </c>
    </row>
    <row r="14" customFormat="false" ht="15" hidden="false" customHeight="true" outlineLevel="0" collapsed="false">
      <c r="B14" s="18" t="s">
        <v>98</v>
      </c>
      <c r="D14" s="27" t="n">
        <v>10146</v>
      </c>
      <c r="E14" s="27" t="n">
        <v>11482</v>
      </c>
      <c r="F14" s="27" t="n">
        <v>13393</v>
      </c>
      <c r="G14" s="27" t="n">
        <v>16924</v>
      </c>
      <c r="H14" s="27" t="n">
        <v>21807</v>
      </c>
      <c r="I14" s="27" t="n">
        <v>26021</v>
      </c>
      <c r="J14" s="28" t="n">
        <f aca="false">'Income Statement'!J11*J62</f>
        <v>29701.7411590116</v>
      </c>
      <c r="K14" s="28" t="n">
        <f aca="false">'Income Statement'!K11*K62</f>
        <v>34009.8715126658</v>
      </c>
      <c r="L14" s="28" t="n">
        <f aca="false">'Income Statement'!L11*L62</f>
        <v>39061.7161739224</v>
      </c>
      <c r="M14" s="28" t="n">
        <f aca="false">'Income Statement'!M11*M62</f>
        <v>44996.0750572184</v>
      </c>
      <c r="N14" s="28" t="n">
        <f aca="false">'Income Statement'!N11*N62</f>
        <v>51978.667962239</v>
      </c>
    </row>
    <row r="15" customFormat="false" ht="15" hidden="false" customHeight="true" outlineLevel="0" collapsed="false">
      <c r="B15" s="16" t="s">
        <v>99</v>
      </c>
      <c r="D15" s="30" t="n">
        <f aca="false">SUM(D10:D14)</f>
        <v>175552</v>
      </c>
      <c r="E15" s="30" t="n">
        <f aca="false">SUM(E10:E14)</f>
        <v>181915</v>
      </c>
      <c r="F15" s="30" t="n">
        <f aca="false">SUM(F10:F14)</f>
        <v>184406</v>
      </c>
      <c r="G15" s="30" t="n">
        <f aca="false">SUM(G10:G14)</f>
        <v>169684</v>
      </c>
      <c r="H15" s="30" t="n">
        <f aca="false">SUM(H10:H14)</f>
        <v>184257</v>
      </c>
      <c r="I15" s="30" t="n">
        <f aca="false">SUM(I10:I14)</f>
        <v>159734</v>
      </c>
      <c r="J15" s="30" t="n">
        <f aca="false">SUM(J10:J14)</f>
        <v>218058.455846588</v>
      </c>
      <c r="K15" s="30" t="n">
        <f aca="false">SUM(K10:K14)</f>
        <v>285280.489654891</v>
      </c>
      <c r="L15" s="30" t="n">
        <f aca="false">SUM(L10:L14)</f>
        <v>362964.3099864</v>
      </c>
      <c r="M15" s="30" t="n">
        <f aca="false">SUM(M10:M14)</f>
        <v>452968.746483616</v>
      </c>
      <c r="N15" s="30" t="n">
        <f aca="false">SUM(N10:N14)</f>
        <v>557504.694026974</v>
      </c>
    </row>
    <row r="17" customFormat="false" ht="15" hidden="false" customHeight="true" outlineLevel="0" collapsed="false">
      <c r="B17" s="39" t="s">
        <v>100</v>
      </c>
    </row>
    <row r="18" customFormat="false" ht="15" hidden="false" customHeight="true" outlineLevel="0" collapsed="false">
      <c r="B18" s="18" t="s">
        <v>101</v>
      </c>
      <c r="D18" s="27" t="n">
        <v>36477</v>
      </c>
      <c r="E18" s="27" t="n">
        <v>44151</v>
      </c>
      <c r="F18" s="27" t="n">
        <v>59715</v>
      </c>
      <c r="G18" s="27" t="n">
        <v>74398</v>
      </c>
      <c r="H18" s="27" t="n">
        <v>95641</v>
      </c>
      <c r="I18" s="27" t="n">
        <v>135591</v>
      </c>
      <c r="J18" s="17" t="n">
        <f aca="false">'PP&amp;E Schedule'!J10</f>
        <v>160919.835798719</v>
      </c>
      <c r="K18" s="17" t="n">
        <f aca="false">'PP&amp;E Schedule'!K10</f>
        <v>189922.527811557</v>
      </c>
      <c r="L18" s="17" t="n">
        <f aca="false">'PP&amp;E Schedule'!L10</f>
        <v>223233.295341603</v>
      </c>
      <c r="M18" s="17" t="n">
        <f aca="false">'PP&amp;E Schedule'!M10</f>
        <v>261604.722478134</v>
      </c>
      <c r="N18" s="17" t="n">
        <f aca="false">'PP&amp;E Schedule'!N10</f>
        <v>305930.714641467</v>
      </c>
    </row>
    <row r="19" customFormat="false" ht="15" hidden="false" customHeight="true" outlineLevel="0" collapsed="false">
      <c r="B19" s="18" t="s">
        <v>102</v>
      </c>
      <c r="D19" s="27" t="n">
        <v>7379</v>
      </c>
      <c r="E19" s="27" t="n">
        <v>8753</v>
      </c>
      <c r="F19" s="27" t="n">
        <v>11088</v>
      </c>
      <c r="G19" s="27" t="n">
        <v>13148</v>
      </c>
      <c r="H19" s="27" t="n">
        <v>14346</v>
      </c>
      <c r="I19" s="27" t="n">
        <v>18961</v>
      </c>
      <c r="J19" s="28" t="n">
        <f aca="false">'Income Statement'!J11*J63</f>
        <v>21643.0849742907</v>
      </c>
      <c r="K19" s="28" t="n">
        <f aca="false">'Income Statement'!K11*K63</f>
        <v>24782.3363341784</v>
      </c>
      <c r="L19" s="28" t="n">
        <f aca="false">'Income Statement'!L11*L63</f>
        <v>28463.5179421906</v>
      </c>
      <c r="M19" s="28" t="n">
        <f aca="false">'Income Statement'!M11*M63</f>
        <v>32787.7706145005</v>
      </c>
      <c r="N19" s="28" t="n">
        <f aca="false">'Income Statement'!N11*N63</f>
        <v>37875.8511675959</v>
      </c>
    </row>
    <row r="20" customFormat="false" ht="15" hidden="false" customHeight="true" outlineLevel="0" collapsed="false">
      <c r="B20" s="18" t="s">
        <v>103</v>
      </c>
      <c r="D20" s="27" t="n">
        <v>2649</v>
      </c>
      <c r="E20" s="27" t="n">
        <v>2965</v>
      </c>
      <c r="F20" s="27" t="n">
        <v>5984</v>
      </c>
      <c r="G20" s="27" t="n">
        <v>6891</v>
      </c>
      <c r="H20" s="27" t="n">
        <v>9879</v>
      </c>
      <c r="I20" s="27" t="n">
        <v>14600</v>
      </c>
      <c r="J20" s="28" t="n">
        <f aca="false">'Income Statement'!J11*J64</f>
        <v>16665.2096737854</v>
      </c>
      <c r="K20" s="28" t="n">
        <f aca="false">'Income Statement'!K11*K64</f>
        <v>19082.4381878068</v>
      </c>
      <c r="L20" s="28" t="n">
        <f aca="false">'Income Statement'!L11*L64</f>
        <v>21916.9538503235</v>
      </c>
      <c r="M20" s="28" t="n">
        <f aca="false">'Income Statement'!M11*M64</f>
        <v>25246.6352498132</v>
      </c>
      <c r="N20" s="28" t="n">
        <f aca="false">'Income Statement'!N11*N64</f>
        <v>29164.4653260324</v>
      </c>
    </row>
    <row r="21" customFormat="false" ht="15" hidden="false" customHeight="true" outlineLevel="0" collapsed="false">
      <c r="B21" s="18" t="s">
        <v>104</v>
      </c>
      <c r="D21" s="27" t="n">
        <v>42026</v>
      </c>
      <c r="E21" s="27" t="n">
        <v>43351</v>
      </c>
      <c r="F21" s="27" t="n">
        <v>49711</v>
      </c>
      <c r="G21" s="27" t="n">
        <v>67524</v>
      </c>
      <c r="H21" s="27" t="n">
        <v>67886</v>
      </c>
      <c r="I21" s="27" t="n">
        <v>119220</v>
      </c>
      <c r="J21" s="28" t="n">
        <f aca="false">I21</f>
        <v>119220</v>
      </c>
      <c r="K21" s="28" t="n">
        <f aca="false">J21</f>
        <v>119220</v>
      </c>
      <c r="L21" s="28" t="n">
        <f aca="false">K21</f>
        <v>119220</v>
      </c>
      <c r="M21" s="28" t="n">
        <f aca="false">L21</f>
        <v>119220</v>
      </c>
      <c r="N21" s="28" t="n">
        <f aca="false">M21</f>
        <v>119220</v>
      </c>
      <c r="Q21" s="29" t="s">
        <v>105</v>
      </c>
    </row>
    <row r="22" customFormat="false" ht="15" hidden="false" customHeight="true" outlineLevel="0" collapsed="false">
      <c r="B22" s="18" t="s">
        <v>106</v>
      </c>
      <c r="D22" s="27" t="n">
        <v>7750</v>
      </c>
      <c r="E22" s="27" t="n">
        <v>7038</v>
      </c>
      <c r="F22" s="27" t="n">
        <v>7800</v>
      </c>
      <c r="G22" s="27" t="n">
        <v>11298</v>
      </c>
      <c r="H22" s="27" t="n">
        <v>9366</v>
      </c>
      <c r="I22" s="27" t="n">
        <v>27597</v>
      </c>
      <c r="J22" s="28" t="n">
        <f aca="false">I22</f>
        <v>27597</v>
      </c>
      <c r="K22" s="28" t="n">
        <f aca="false">J22</f>
        <v>27597</v>
      </c>
      <c r="L22" s="28" t="n">
        <f aca="false">K22</f>
        <v>27597</v>
      </c>
      <c r="M22" s="28" t="n">
        <f aca="false">L22</f>
        <v>27597</v>
      </c>
      <c r="N22" s="28" t="n">
        <f aca="false">M22</f>
        <v>27597</v>
      </c>
    </row>
    <row r="23" customFormat="false" ht="15" hidden="false" customHeight="true" outlineLevel="0" collapsed="false">
      <c r="B23" s="18" t="s">
        <v>107</v>
      </c>
      <c r="D23" s="27" t="n">
        <v>14723</v>
      </c>
      <c r="E23" s="27" t="n">
        <v>13138</v>
      </c>
      <c r="F23" s="27" t="n">
        <v>15075</v>
      </c>
      <c r="G23" s="27" t="n">
        <v>21897</v>
      </c>
      <c r="H23" s="27" t="n">
        <v>30601</v>
      </c>
      <c r="I23" s="27" t="n">
        <v>36460</v>
      </c>
      <c r="J23" s="28" t="n">
        <f aca="false">'Income Statement'!J11*J65</f>
        <v>41617.3660757681</v>
      </c>
      <c r="K23" s="28" t="n">
        <f aca="false">'Income Statement'!K11*K65</f>
        <v>47653.8148169476</v>
      </c>
      <c r="L23" s="28" t="n">
        <f aca="false">'Income Statement'!L11*L65</f>
        <v>54732.3381769037</v>
      </c>
      <c r="M23" s="28" t="n">
        <f aca="false">'Income Statement'!M11*M65</f>
        <v>63047.4192608348</v>
      </c>
      <c r="N23" s="28" t="n">
        <f aca="false">'Income Statement'!N11*N65</f>
        <v>72831.2606703522</v>
      </c>
    </row>
    <row r="24" customFormat="false" ht="15" hidden="false" customHeight="true" outlineLevel="0" collapsed="false">
      <c r="B24" s="16" t="s">
        <v>108</v>
      </c>
      <c r="D24" s="30" t="n">
        <f aca="false">SUM(D18:D23)</f>
        <v>111004</v>
      </c>
      <c r="E24" s="30" t="n">
        <f aca="false">SUM(E18:E23)</f>
        <v>119396</v>
      </c>
      <c r="F24" s="30" t="n">
        <f aca="false">SUM(F18:F23)</f>
        <v>149373</v>
      </c>
      <c r="G24" s="30" t="n">
        <f aca="false">SUM(G18:G23)</f>
        <v>195156</v>
      </c>
      <c r="H24" s="30" t="n">
        <f aca="false">SUM(H18:H23)</f>
        <v>227719</v>
      </c>
      <c r="I24" s="30" t="n">
        <f aca="false">SUM(I18:I23)</f>
        <v>352429</v>
      </c>
      <c r="J24" s="30" t="n">
        <f aca="false">SUM(J18:J23)</f>
        <v>387662.496522563</v>
      </c>
      <c r="K24" s="30" t="n">
        <f aca="false">SUM(K18:K23)</f>
        <v>428258.11715049</v>
      </c>
      <c r="L24" s="30" t="n">
        <f aca="false">SUM(L18:L23)</f>
        <v>475163.105311021</v>
      </c>
      <c r="M24" s="30" t="n">
        <f aca="false">SUM(M18:M23)</f>
        <v>529503.547603283</v>
      </c>
      <c r="N24" s="30" t="n">
        <f aca="false">SUM(N18:N23)</f>
        <v>592619.291805448</v>
      </c>
    </row>
    <row r="26" customFormat="false" ht="15" hidden="false" customHeight="true" outlineLevel="0" collapsed="false">
      <c r="B26" s="26" t="s">
        <v>109</v>
      </c>
      <c r="D26" s="40" t="n">
        <f aca="false">D15+D24</f>
        <v>286556</v>
      </c>
      <c r="E26" s="40" t="n">
        <f aca="false">E15+E24</f>
        <v>301311</v>
      </c>
      <c r="F26" s="40" t="n">
        <f aca="false">F15+F24</f>
        <v>333779</v>
      </c>
      <c r="G26" s="40" t="n">
        <f aca="false">G15+G24</f>
        <v>364840</v>
      </c>
      <c r="H26" s="40" t="n">
        <f aca="false">H15+H24</f>
        <v>411976</v>
      </c>
      <c r="I26" s="40" t="n">
        <f aca="false">I15+I24</f>
        <v>512163</v>
      </c>
      <c r="J26" s="40" t="n">
        <f aca="false">J15+J24</f>
        <v>605720.952369152</v>
      </c>
      <c r="K26" s="40" t="n">
        <f aca="false">K15+K24</f>
        <v>713538.606805381</v>
      </c>
      <c r="L26" s="40" t="n">
        <f aca="false">L15+L24</f>
        <v>838127.415297421</v>
      </c>
      <c r="M26" s="40" t="n">
        <f aca="false">M15+M24</f>
        <v>982472.294086899</v>
      </c>
      <c r="N26" s="40" t="n">
        <f aca="false">N15+N24</f>
        <v>1150123.98583242</v>
      </c>
    </row>
    <row r="28" customFormat="false" ht="15" hidden="false" customHeight="true" outlineLevel="0" collapsed="false">
      <c r="B28" s="39" t="s">
        <v>110</v>
      </c>
    </row>
    <row r="29" customFormat="false" ht="15" hidden="false" customHeight="true" outlineLevel="0" collapsed="false">
      <c r="B29" s="18" t="s">
        <v>111</v>
      </c>
      <c r="D29" s="27" t="n">
        <v>9382</v>
      </c>
      <c r="E29" s="27" t="n">
        <v>12530</v>
      </c>
      <c r="F29" s="27" t="n">
        <v>15163</v>
      </c>
      <c r="G29" s="27" t="n">
        <v>19000</v>
      </c>
      <c r="H29" s="27" t="n">
        <v>18095</v>
      </c>
      <c r="I29" s="27" t="n">
        <v>21996</v>
      </c>
      <c r="J29" s="28" t="n">
        <f aca="false">'Income Statement'!J17*J66</f>
        <v>25107.3939715468</v>
      </c>
      <c r="K29" s="28" t="n">
        <f aca="false">'Income Statement'!K17*K66</f>
        <v>28749.1308478766</v>
      </c>
      <c r="L29" s="28" t="n">
        <f aca="false">'Income Statement'!L17*L66</f>
        <v>33019.5422528572</v>
      </c>
      <c r="M29" s="28" t="n">
        <f aca="false">'Income Statement'!M17*M66</f>
        <v>38035.9581475952</v>
      </c>
      <c r="N29" s="28" t="n">
        <f aca="false">'Income Statement'!N17*N66</f>
        <v>43938.4643363979</v>
      </c>
    </row>
    <row r="30" customFormat="false" ht="15" hidden="false" customHeight="true" outlineLevel="0" collapsed="false">
      <c r="B30" s="18" t="s">
        <v>112</v>
      </c>
      <c r="D30" s="27" t="n">
        <v>0</v>
      </c>
      <c r="E30" s="27" t="n">
        <v>0</v>
      </c>
      <c r="F30" s="27" t="n">
        <v>0</v>
      </c>
      <c r="G30" s="27" t="n">
        <v>0</v>
      </c>
      <c r="H30" s="27" t="n">
        <v>0</v>
      </c>
      <c r="I30" s="27" t="n">
        <v>6693</v>
      </c>
      <c r="J30" s="28" t="n">
        <f aca="false">I30</f>
        <v>6693</v>
      </c>
      <c r="K30" s="28" t="n">
        <f aca="false">J30</f>
        <v>6693</v>
      </c>
      <c r="L30" s="28" t="n">
        <f aca="false">K30</f>
        <v>6693</v>
      </c>
      <c r="M30" s="28" t="n">
        <f aca="false">L30</f>
        <v>6693</v>
      </c>
      <c r="N30" s="28" t="n">
        <f aca="false">M30</f>
        <v>6693</v>
      </c>
    </row>
    <row r="31" customFormat="false" ht="15" hidden="false" customHeight="true" outlineLevel="0" collapsed="false">
      <c r="B31" s="18" t="s">
        <v>113</v>
      </c>
      <c r="D31" s="27" t="n">
        <v>5516</v>
      </c>
      <c r="E31" s="27" t="n">
        <v>3749</v>
      </c>
      <c r="F31" s="27" t="n">
        <v>8072</v>
      </c>
      <c r="G31" s="27" t="n">
        <v>2749</v>
      </c>
      <c r="H31" s="27" t="n">
        <v>5247</v>
      </c>
      <c r="I31" s="27" t="n">
        <v>2249</v>
      </c>
      <c r="J31" s="28" t="n">
        <f aca="false">I31</f>
        <v>2249</v>
      </c>
      <c r="K31" s="28" t="n">
        <f aca="false">J31</f>
        <v>2249</v>
      </c>
      <c r="L31" s="28" t="n">
        <f aca="false">K31</f>
        <v>2249</v>
      </c>
      <c r="M31" s="28" t="n">
        <f aca="false">L31</f>
        <v>2249</v>
      </c>
      <c r="N31" s="28" t="n">
        <f aca="false">M31</f>
        <v>2249</v>
      </c>
    </row>
    <row r="32" customFormat="false" ht="15" hidden="false" customHeight="true" outlineLevel="0" collapsed="false">
      <c r="B32" s="18" t="s">
        <v>114</v>
      </c>
      <c r="D32" s="27" t="n">
        <v>6830</v>
      </c>
      <c r="E32" s="27" t="n">
        <v>7874</v>
      </c>
      <c r="F32" s="27" t="n">
        <v>10057</v>
      </c>
      <c r="G32" s="27" t="n">
        <v>10661</v>
      </c>
      <c r="H32" s="27" t="n">
        <v>11009</v>
      </c>
      <c r="I32" s="27" t="n">
        <v>12564</v>
      </c>
      <c r="J32" s="28" t="n">
        <f aca="false">'Income Statement'!J11*J67</f>
        <v>14341.2119411945</v>
      </c>
      <c r="K32" s="28" t="n">
        <f aca="false">'Income Statement'!K11*K67</f>
        <v>16421.3529720277</v>
      </c>
      <c r="L32" s="28" t="n">
        <f aca="false">'Income Statement'!L11*L67</f>
        <v>18860.5896010592</v>
      </c>
      <c r="M32" s="28" t="n">
        <f aca="false">'Income Statement'!M11*M67</f>
        <v>21725.9400875789</v>
      </c>
      <c r="N32" s="28" t="n">
        <f aca="false">'Income Statement'!N11*N67</f>
        <v>25097.4207093336</v>
      </c>
    </row>
    <row r="33" customFormat="false" ht="15" hidden="false" customHeight="true" outlineLevel="0" collapsed="false">
      <c r="B33" s="18" t="s">
        <v>115</v>
      </c>
      <c r="D33" s="27" t="n">
        <v>5665</v>
      </c>
      <c r="E33" s="27" t="n">
        <v>2130</v>
      </c>
      <c r="F33" s="27" t="n">
        <v>2174</v>
      </c>
      <c r="G33" s="27" t="n">
        <v>4067</v>
      </c>
      <c r="H33" s="27" t="n">
        <v>4152</v>
      </c>
      <c r="I33" s="27" t="n">
        <v>5017</v>
      </c>
      <c r="J33" s="28" t="n">
        <f aca="false">'Income Statement'!J34*J68</f>
        <v>5737.50552687607</v>
      </c>
      <c r="K33" s="28" t="n">
        <f aca="false">'Income Statement'!K34*K68</f>
        <v>6580.82256445443</v>
      </c>
      <c r="L33" s="28" t="n">
        <f aca="false">'Income Statement'!L34*L68</f>
        <v>7569.72176766062</v>
      </c>
      <c r="M33" s="28" t="n">
        <f aca="false">'Income Statement'!M34*M68</f>
        <v>8731.37323652647</v>
      </c>
      <c r="N33" s="28" t="n">
        <f aca="false">'Income Statement'!N34*N68</f>
        <v>10098.2166418758</v>
      </c>
    </row>
    <row r="34" customFormat="false" ht="15" hidden="false" customHeight="true" outlineLevel="0" collapsed="false">
      <c r="B34" s="18" t="s">
        <v>116</v>
      </c>
      <c r="D34" s="27" t="n">
        <v>32676</v>
      </c>
      <c r="E34" s="27" t="n">
        <v>36000</v>
      </c>
      <c r="F34" s="27" t="n">
        <v>41525</v>
      </c>
      <c r="G34" s="27" t="n">
        <v>45538</v>
      </c>
      <c r="H34" s="27" t="n">
        <v>50901</v>
      </c>
      <c r="I34" s="27" t="n">
        <v>57582</v>
      </c>
      <c r="J34" s="28" t="n">
        <f aca="false">'Income Statement'!J11*J69</f>
        <v>65727.1303723226</v>
      </c>
      <c r="K34" s="28" t="n">
        <f aca="false">'Income Statement'!K11*K69</f>
        <v>75260.6134061843</v>
      </c>
      <c r="L34" s="28" t="n">
        <f aca="false">'Income Statement'!L11*L69</f>
        <v>86439.8655211867</v>
      </c>
      <c r="M34" s="28" t="n">
        <f aca="false">'Income Statement'!M11*M69</f>
        <v>99572.0377366261</v>
      </c>
      <c r="N34" s="28" t="n">
        <f aca="false">'Income Statement'!N11*N69</f>
        <v>115023.852219425</v>
      </c>
    </row>
    <row r="35" customFormat="false" ht="15" hidden="false" customHeight="true" outlineLevel="0" collapsed="false">
      <c r="B35" s="18" t="s">
        <v>117</v>
      </c>
      <c r="D35" s="27" t="n">
        <v>9351</v>
      </c>
      <c r="E35" s="27" t="n">
        <v>10027</v>
      </c>
      <c r="F35" s="27" t="n">
        <v>11666</v>
      </c>
      <c r="G35" s="27" t="n">
        <v>13067</v>
      </c>
      <c r="H35" s="27" t="n">
        <v>14745</v>
      </c>
      <c r="I35" s="27" t="n">
        <v>19185</v>
      </c>
      <c r="J35" s="28" t="n">
        <f aca="false">'Income Statement'!J11*J70</f>
        <v>21898.7703829844</v>
      </c>
      <c r="K35" s="28" t="n">
        <f aca="false">'Income Statement'!K11*K70</f>
        <v>25075.1079885667</v>
      </c>
      <c r="L35" s="28" t="n">
        <f aca="false">'Income Statement'!L11*L70</f>
        <v>28799.7780560586</v>
      </c>
      <c r="M35" s="28" t="n">
        <f aca="false">'Income Statement'!M11*M70</f>
        <v>33175.11625121</v>
      </c>
      <c r="N35" s="28" t="n">
        <f aca="false">'Income Statement'!N11*N70</f>
        <v>38323.3059780775</v>
      </c>
    </row>
    <row r="36" customFormat="false" ht="15" hidden="false" customHeight="true" outlineLevel="0" collapsed="false">
      <c r="B36" s="16" t="s">
        <v>118</v>
      </c>
      <c r="D36" s="30" t="n">
        <f aca="false">SUM(D29:D35)</f>
        <v>69420</v>
      </c>
      <c r="E36" s="30" t="n">
        <f aca="false">SUM(E29:E35)</f>
        <v>72310</v>
      </c>
      <c r="F36" s="30" t="n">
        <f aca="false">SUM(F29:F35)</f>
        <v>88657</v>
      </c>
      <c r="G36" s="30" t="n">
        <f aca="false">SUM(G29:G35)</f>
        <v>95082</v>
      </c>
      <c r="H36" s="30" t="n">
        <f aca="false">SUM(H29:H35)</f>
        <v>104149</v>
      </c>
      <c r="I36" s="30" t="n">
        <f aca="false">SUM(I29:I35)</f>
        <v>125286</v>
      </c>
      <c r="J36" s="30" t="n">
        <f aca="false">SUM(J29:J35)</f>
        <v>141754.012194924</v>
      </c>
      <c r="K36" s="30" t="n">
        <f aca="false">SUM(K29:K35)</f>
        <v>161029.02777911</v>
      </c>
      <c r="L36" s="30" t="n">
        <f aca="false">SUM(L29:L35)</f>
        <v>183631.497198822</v>
      </c>
      <c r="M36" s="30" t="n">
        <f aca="false">SUM(M29:M35)</f>
        <v>210182.425459537</v>
      </c>
      <c r="N36" s="30" t="n">
        <f aca="false">SUM(N29:N35)</f>
        <v>241423.259885109</v>
      </c>
    </row>
    <row r="38" customFormat="false" ht="15" hidden="false" customHeight="true" outlineLevel="0" collapsed="false">
      <c r="B38" s="39" t="s">
        <v>119</v>
      </c>
    </row>
    <row r="39" customFormat="false" ht="15" hidden="false" customHeight="true" outlineLevel="0" collapsed="false">
      <c r="B39" s="18" t="s">
        <v>120</v>
      </c>
      <c r="D39" s="27" t="n">
        <v>66662</v>
      </c>
      <c r="E39" s="27" t="n">
        <v>59578</v>
      </c>
      <c r="F39" s="27" t="n">
        <v>50074</v>
      </c>
      <c r="G39" s="27" t="n">
        <v>47032</v>
      </c>
      <c r="H39" s="27" t="n">
        <v>41990</v>
      </c>
      <c r="I39" s="27" t="n">
        <v>42688</v>
      </c>
      <c r="J39" s="28" t="n">
        <f aca="false">I39</f>
        <v>42688</v>
      </c>
      <c r="K39" s="28" t="n">
        <f aca="false">J39</f>
        <v>42688</v>
      </c>
      <c r="L39" s="28" t="n">
        <f aca="false">K39</f>
        <v>42688</v>
      </c>
      <c r="M39" s="28" t="n">
        <f aca="false">L39</f>
        <v>42688</v>
      </c>
      <c r="N39" s="28" t="n">
        <f aca="false">M39</f>
        <v>42688</v>
      </c>
    </row>
    <row r="40" customFormat="false" ht="15" hidden="false" customHeight="true" outlineLevel="0" collapsed="false">
      <c r="B40" s="18" t="s">
        <v>121</v>
      </c>
      <c r="D40" s="27" t="n">
        <v>29612</v>
      </c>
      <c r="E40" s="27" t="n">
        <v>29432</v>
      </c>
      <c r="F40" s="27" t="n">
        <v>27190</v>
      </c>
      <c r="G40" s="27" t="n">
        <v>26069</v>
      </c>
      <c r="H40" s="27" t="n">
        <v>25560</v>
      </c>
      <c r="I40" s="27" t="n">
        <v>27931</v>
      </c>
      <c r="J40" s="28" t="n">
        <f aca="false">I40</f>
        <v>27931</v>
      </c>
      <c r="K40" s="28" t="n">
        <f aca="false">J40</f>
        <v>27931</v>
      </c>
      <c r="L40" s="28" t="n">
        <f aca="false">K40</f>
        <v>27931</v>
      </c>
      <c r="M40" s="28" t="n">
        <f aca="false">L40</f>
        <v>27931</v>
      </c>
      <c r="N40" s="28" t="n">
        <f aca="false">M40</f>
        <v>27931</v>
      </c>
    </row>
    <row r="41" customFormat="false" ht="15" hidden="false" customHeight="true" outlineLevel="0" collapsed="false">
      <c r="B41" s="18" t="s">
        <v>122</v>
      </c>
      <c r="D41" s="27" t="n">
        <v>4530</v>
      </c>
      <c r="E41" s="27" t="n">
        <v>3180</v>
      </c>
      <c r="F41" s="27" t="n">
        <v>2616</v>
      </c>
      <c r="G41" s="27" t="n">
        <v>2870</v>
      </c>
      <c r="H41" s="27" t="n">
        <v>2912</v>
      </c>
      <c r="I41" s="27" t="n">
        <v>2602</v>
      </c>
      <c r="J41" s="28" t="n">
        <f aca="false">'Income Statement'!J11*J71</f>
        <v>2970.05997062942</v>
      </c>
      <c r="K41" s="28" t="n">
        <f aca="false">'Income Statement'!K11*K71</f>
        <v>3400.85644963515</v>
      </c>
      <c r="L41" s="28" t="n">
        <f aca="false">'Income Statement'!L11*L71</f>
        <v>3906.02150126998</v>
      </c>
      <c r="M41" s="28" t="n">
        <f aca="false">'Income Statement'!M11*M71</f>
        <v>4499.43458356259</v>
      </c>
      <c r="N41" s="28" t="n">
        <f aca="false">'Income Statement'!N11*N71</f>
        <v>5197.66703961208</v>
      </c>
    </row>
    <row r="42" customFormat="false" ht="15" hidden="false" customHeight="true" outlineLevel="0" collapsed="false">
      <c r="B42" s="18" t="s">
        <v>123</v>
      </c>
      <c r="D42" s="27" t="n">
        <v>233</v>
      </c>
      <c r="E42" s="27" t="n">
        <v>204</v>
      </c>
      <c r="F42" s="27" t="n">
        <v>198</v>
      </c>
      <c r="G42" s="27" t="n">
        <v>230</v>
      </c>
      <c r="H42" s="27" t="n">
        <v>433</v>
      </c>
      <c r="I42" s="27" t="n">
        <v>2618</v>
      </c>
      <c r="J42" s="28" t="n">
        <f aca="false">I42</f>
        <v>2618</v>
      </c>
      <c r="K42" s="28" t="n">
        <f aca="false">J42</f>
        <v>2618</v>
      </c>
      <c r="L42" s="28" t="n">
        <f aca="false">K42</f>
        <v>2618</v>
      </c>
      <c r="M42" s="28" t="n">
        <f aca="false">L42</f>
        <v>2618</v>
      </c>
      <c r="N42" s="28" t="n">
        <f aca="false">M42</f>
        <v>2618</v>
      </c>
    </row>
    <row r="43" customFormat="false" ht="15" hidden="false" customHeight="true" outlineLevel="0" collapsed="false">
      <c r="B43" s="18" t="s">
        <v>124</v>
      </c>
      <c r="D43" s="27" t="n">
        <v>6188</v>
      </c>
      <c r="E43" s="27" t="n">
        <v>7671</v>
      </c>
      <c r="F43" s="27" t="n">
        <v>9629</v>
      </c>
      <c r="G43" s="27" t="n">
        <v>11489</v>
      </c>
      <c r="H43" s="27" t="n">
        <v>12728</v>
      </c>
      <c r="I43" s="27" t="n">
        <v>15497</v>
      </c>
      <c r="J43" s="28" t="n">
        <f aca="false">'Income Statement'!J11*J72</f>
        <v>17689.0927612775</v>
      </c>
      <c r="K43" s="28" t="n">
        <f aca="false">'Income Statement'!K11*K72</f>
        <v>20254.8318216741</v>
      </c>
      <c r="L43" s="28" t="n">
        <f aca="false">'Income Statement'!L11*L72</f>
        <v>23263.495467018</v>
      </c>
      <c r="M43" s="28" t="n">
        <f aca="false">'Income Statement'!M11*M72</f>
        <v>26797.7470182435</v>
      </c>
      <c r="N43" s="28" t="n">
        <f aca="false">'Income Statement'!N11*N72</f>
        <v>30956.282134077</v>
      </c>
    </row>
    <row r="44" customFormat="false" ht="15" hidden="false" customHeight="true" outlineLevel="0" collapsed="false">
      <c r="B44" s="18" t="s">
        <v>125</v>
      </c>
      <c r="D44" s="27" t="n">
        <v>7581</v>
      </c>
      <c r="E44" s="27" t="n">
        <v>10632</v>
      </c>
      <c r="F44" s="27" t="n">
        <v>13427</v>
      </c>
      <c r="G44" s="27" t="n">
        <v>15526</v>
      </c>
      <c r="H44" s="27" t="n">
        <v>17981</v>
      </c>
      <c r="I44" s="27" t="n">
        <v>27064</v>
      </c>
      <c r="J44" s="28" t="n">
        <f aca="false">'Income Statement'!J11*J73</f>
        <v>30892.2763432416</v>
      </c>
      <c r="K44" s="28" t="n">
        <f aca="false">'Income Statement'!K11*K73</f>
        <v>35373.0895284112</v>
      </c>
      <c r="L44" s="28" t="n">
        <f aca="false">'Income Statement'!L11*L73</f>
        <v>40627.4273291202</v>
      </c>
      <c r="M44" s="28" t="n">
        <f aca="false">'Income Statement'!M11*M73</f>
        <v>46799.6531781468</v>
      </c>
      <c r="N44" s="28" t="n">
        <f aca="false">'Income Statement'!N11*N73</f>
        <v>54062.1294235439</v>
      </c>
    </row>
    <row r="45" customFormat="false" ht="15" hidden="false" customHeight="true" outlineLevel="0" collapsed="false">
      <c r="B45" s="16" t="s">
        <v>126</v>
      </c>
      <c r="D45" s="30" t="n">
        <f aca="false">SUM(D39:D44)</f>
        <v>114806</v>
      </c>
      <c r="E45" s="30" t="n">
        <f aca="false">SUM(E39:E44)</f>
        <v>110697</v>
      </c>
      <c r="F45" s="30" t="n">
        <f aca="false">SUM(F39:F44)</f>
        <v>103134</v>
      </c>
      <c r="G45" s="30" t="n">
        <f aca="false">SUM(G39:G44)</f>
        <v>103216</v>
      </c>
      <c r="H45" s="30" t="n">
        <f aca="false">SUM(H39:H44)</f>
        <v>101604</v>
      </c>
      <c r="I45" s="30" t="n">
        <f aca="false">SUM(I39:I44)</f>
        <v>118400</v>
      </c>
      <c r="J45" s="30" t="n">
        <f aca="false">SUM(J39:J44)</f>
        <v>124788.429075149</v>
      </c>
      <c r="K45" s="30" t="n">
        <f aca="false">SUM(K39:K44)</f>
        <v>132265.77779972</v>
      </c>
      <c r="L45" s="30" t="n">
        <f aca="false">SUM(L39:L44)</f>
        <v>141033.944297408</v>
      </c>
      <c r="M45" s="30" t="n">
        <f aca="false">SUM(M39:M44)</f>
        <v>151333.834779953</v>
      </c>
      <c r="N45" s="30" t="n">
        <f aca="false">SUM(N39:N44)</f>
        <v>163453.078597233</v>
      </c>
    </row>
    <row r="47" customFormat="false" ht="15" hidden="false" customHeight="true" outlineLevel="0" collapsed="false">
      <c r="B47" s="26" t="s">
        <v>127</v>
      </c>
      <c r="D47" s="30" t="n">
        <f aca="false">D36+D45</f>
        <v>184226</v>
      </c>
      <c r="E47" s="30" t="n">
        <f aca="false">E36+E45</f>
        <v>183007</v>
      </c>
      <c r="F47" s="30" t="n">
        <f aca="false">F36+F45</f>
        <v>191791</v>
      </c>
      <c r="G47" s="30" t="n">
        <f aca="false">G36+G45</f>
        <v>198298</v>
      </c>
      <c r="H47" s="30" t="n">
        <f aca="false">H36+H45</f>
        <v>205753</v>
      </c>
      <c r="I47" s="30" t="n">
        <f aca="false">I36+I45</f>
        <v>243686</v>
      </c>
      <c r="J47" s="30" t="n">
        <f aca="false">J36+J45</f>
        <v>266542.441270073</v>
      </c>
      <c r="K47" s="30" t="n">
        <f aca="false">K36+K45</f>
        <v>293294.80557883</v>
      </c>
      <c r="L47" s="30" t="n">
        <f aca="false">L36+L45</f>
        <v>324665.441496231</v>
      </c>
      <c r="M47" s="30" t="n">
        <f aca="false">M36+M45</f>
        <v>361516.26023949</v>
      </c>
      <c r="N47" s="30" t="n">
        <f aca="false">N36+N45</f>
        <v>404876.338482342</v>
      </c>
    </row>
    <row r="49" customFormat="false" ht="15" hidden="false" customHeight="true" outlineLevel="0" collapsed="false">
      <c r="B49" s="39" t="s">
        <v>128</v>
      </c>
    </row>
    <row r="50" customFormat="false" ht="15" hidden="false" customHeight="true" outlineLevel="0" collapsed="false">
      <c r="B50" s="18" t="s">
        <v>129</v>
      </c>
      <c r="D50" s="27" t="n">
        <v>78520</v>
      </c>
      <c r="E50" s="27" t="n">
        <v>80552</v>
      </c>
      <c r="F50" s="27" t="n">
        <v>83111</v>
      </c>
      <c r="G50" s="27" t="n">
        <v>86939</v>
      </c>
      <c r="H50" s="27" t="n">
        <v>93718</v>
      </c>
      <c r="I50" s="27" t="n">
        <v>100923</v>
      </c>
      <c r="J50" s="17" t="n">
        <f aca="false">I50+'Cash Flow Statement'!J11+'Cash Flow Statement'!J41+'Cash Flow Statement'!J42</f>
        <v>95728.6461815722</v>
      </c>
      <c r="K50" s="17" t="n">
        <f aca="false">J50+'Cash Flow Statement'!K11+'Cash Flow Statement'!K41+'Cash Flow Statement'!K42</f>
        <v>89742.6527750563</v>
      </c>
      <c r="L50" s="17" t="n">
        <f aca="false">K50+'Cash Flow Statement'!L11+'Cash Flow Statement'!L41+'Cash Flow Statement'!L42</f>
        <v>82828.3587140975</v>
      </c>
      <c r="M50" s="17" t="n">
        <f aca="false">L50+'Cash Flow Statement'!M11+'Cash Flow Statement'!M41+'Cash Flow Statement'!M42</f>
        <v>74823.5977832228</v>
      </c>
      <c r="N50" s="17" t="n">
        <f aca="false">M50+'Cash Flow Statement'!N11+'Cash Flow Statement'!N41+'Cash Flow Statement'!N42</f>
        <v>65535.7519599821</v>
      </c>
      <c r="Q50" s="29" t="s">
        <v>130</v>
      </c>
    </row>
    <row r="51" customFormat="false" ht="15" hidden="false" customHeight="true" outlineLevel="0" collapsed="false">
      <c r="B51" s="18" t="s">
        <v>131</v>
      </c>
      <c r="D51" s="27" t="n">
        <v>24150</v>
      </c>
      <c r="E51" s="27" t="n">
        <v>34566</v>
      </c>
      <c r="F51" s="27" t="n">
        <v>57055</v>
      </c>
      <c r="G51" s="27" t="n">
        <v>84281</v>
      </c>
      <c r="H51" s="27" t="n">
        <v>118848</v>
      </c>
      <c r="I51" s="27" t="n">
        <v>173144</v>
      </c>
      <c r="J51" s="17" t="n">
        <f aca="false">I51+'Income Statement'!J37+'Cash Flow Statement'!J43</f>
        <v>249039.864917507</v>
      </c>
      <c r="K51" s="17" t="n">
        <f aca="false">J51+'Income Statement'!K37+'Cash Flow Statement'!K43</f>
        <v>336091.148451495</v>
      </c>
      <c r="L51" s="17" t="n">
        <f aca="false">K51+'Income Statement'!L37+'Cash Flow Statement'!L43</f>
        <v>436223.615087093</v>
      </c>
      <c r="M51" s="17" t="n">
        <f aca="false">L51+'Income Statement'!M37+'Cash Flow Statement'!M43</f>
        <v>551722.436064187</v>
      </c>
      <c r="N51" s="17" t="n">
        <f aca="false">M51+'Income Statement'!N37+'Cash Flow Statement'!N43</f>
        <v>685301.895390097</v>
      </c>
      <c r="Q51" s="29" t="s">
        <v>132</v>
      </c>
    </row>
    <row r="52" customFormat="false" ht="15" hidden="false" customHeight="true" outlineLevel="0" collapsed="false">
      <c r="B52" s="18" t="s">
        <v>133</v>
      </c>
      <c r="D52" s="27" t="n">
        <v>-340</v>
      </c>
      <c r="E52" s="27" t="n">
        <v>3186</v>
      </c>
      <c r="F52" s="27" t="n">
        <v>1822</v>
      </c>
      <c r="G52" s="27" t="n">
        <v>-4678</v>
      </c>
      <c r="H52" s="27" t="n">
        <v>-6343</v>
      </c>
      <c r="I52" s="27" t="n">
        <v>-5590</v>
      </c>
      <c r="J52" s="28" t="n">
        <f aca="false">I52</f>
        <v>-5590</v>
      </c>
      <c r="K52" s="28" t="n">
        <f aca="false">J52</f>
        <v>-5590</v>
      </c>
      <c r="L52" s="28" t="n">
        <f aca="false">K52</f>
        <v>-5590</v>
      </c>
      <c r="M52" s="28" t="n">
        <f aca="false">L52</f>
        <v>-5590</v>
      </c>
      <c r="N52" s="28" t="n">
        <f aca="false">M52</f>
        <v>-5590</v>
      </c>
    </row>
    <row r="53" customFormat="false" ht="15" hidden="false" customHeight="true" outlineLevel="0" collapsed="false">
      <c r="B53" s="16" t="s">
        <v>134</v>
      </c>
      <c r="D53" s="30" t="n">
        <f aca="false">SUM(D50:D52)</f>
        <v>102330</v>
      </c>
      <c r="E53" s="30" t="n">
        <f aca="false">SUM(E50:E52)</f>
        <v>118304</v>
      </c>
      <c r="F53" s="30" t="n">
        <f aca="false">SUM(F50:F52)</f>
        <v>141988</v>
      </c>
      <c r="G53" s="30" t="n">
        <f aca="false">SUM(G50:G52)</f>
        <v>166542</v>
      </c>
      <c r="H53" s="30" t="n">
        <f aca="false">SUM(H50:H52)</f>
        <v>206223</v>
      </c>
      <c r="I53" s="30" t="n">
        <f aca="false">SUM(I50:I52)</f>
        <v>268477</v>
      </c>
      <c r="J53" s="30" t="n">
        <f aca="false">SUM(J50:J52)</f>
        <v>339178.511099079</v>
      </c>
      <c r="K53" s="30" t="n">
        <f aca="false">SUM(K50:K52)</f>
        <v>420243.801226551</v>
      </c>
      <c r="L53" s="30" t="n">
        <f aca="false">SUM(L50:L52)</f>
        <v>513461.97380119</v>
      </c>
      <c r="M53" s="30" t="n">
        <f aca="false">SUM(M50:M52)</f>
        <v>620956.033847409</v>
      </c>
      <c r="N53" s="30" t="n">
        <f aca="false">SUM(N50:N52)</f>
        <v>745247.647350079</v>
      </c>
    </row>
    <row r="55" customFormat="false" ht="15" hidden="false" customHeight="true" outlineLevel="0" collapsed="false">
      <c r="B55" s="26" t="s">
        <v>135</v>
      </c>
      <c r="D55" s="40" t="n">
        <f aca="false">D47+D53</f>
        <v>286556</v>
      </c>
      <c r="E55" s="40" t="n">
        <f aca="false">E47+E53</f>
        <v>301311</v>
      </c>
      <c r="F55" s="40" t="n">
        <f aca="false">F47+F53</f>
        <v>333779</v>
      </c>
      <c r="G55" s="40" t="n">
        <f aca="false">G47+G53</f>
        <v>364840</v>
      </c>
      <c r="H55" s="40" t="n">
        <f aca="false">H47+H53</f>
        <v>411976</v>
      </c>
      <c r="I55" s="40" t="n">
        <f aca="false">I47+I53</f>
        <v>512163</v>
      </c>
      <c r="J55" s="40" t="n">
        <f aca="false">J47+J53</f>
        <v>605720.952369152</v>
      </c>
      <c r="K55" s="40" t="n">
        <f aca="false">K47+K53</f>
        <v>713538.606805381</v>
      </c>
      <c r="L55" s="40" t="n">
        <f aca="false">L47+L53</f>
        <v>838127.415297421</v>
      </c>
      <c r="M55" s="40" t="n">
        <f aca="false">M47+M53</f>
        <v>982472.294086899</v>
      </c>
      <c r="N55" s="40" t="n">
        <f aca="false">N47+N53</f>
        <v>1150123.98583242</v>
      </c>
    </row>
    <row r="56" customFormat="false" ht="15" hidden="false" customHeight="true" outlineLevel="0" collapsed="false">
      <c r="B56" s="31" t="s">
        <v>136</v>
      </c>
      <c r="D56" s="41" t="n">
        <f aca="false">D26-D55</f>
        <v>0</v>
      </c>
      <c r="E56" s="41" t="n">
        <f aca="false">E26-E55</f>
        <v>0</v>
      </c>
      <c r="F56" s="41" t="n">
        <f aca="false">F26-F55</f>
        <v>0</v>
      </c>
      <c r="G56" s="41" t="n">
        <f aca="false">G26-G55</f>
        <v>0</v>
      </c>
      <c r="H56" s="41" t="n">
        <f aca="false">H26-H55</f>
        <v>0</v>
      </c>
      <c r="I56" s="41" t="n">
        <f aca="false">I26-I55</f>
        <v>0</v>
      </c>
      <c r="J56" s="41" t="n">
        <f aca="false">J26-J55</f>
        <v>0</v>
      </c>
      <c r="K56" s="41" t="n">
        <f aca="false">K26-K55</f>
        <v>0</v>
      </c>
      <c r="L56" s="41" t="n">
        <f aca="false">L26-L55</f>
        <v>0</v>
      </c>
      <c r="M56" s="41" t="n">
        <f aca="false">M26-M55</f>
        <v>0</v>
      </c>
      <c r="N56" s="41" t="n">
        <f aca="false">N26-N55</f>
        <v>0</v>
      </c>
    </row>
    <row r="58" customFormat="false" ht="15" hidden="false" customHeight="true" outlineLevel="0" collapsed="false">
      <c r="B58" s="20" t="s">
        <v>137</v>
      </c>
      <c r="C58" s="21"/>
      <c r="D58" s="21"/>
      <c r="E58" s="21"/>
      <c r="F58" s="21"/>
      <c r="G58" s="21"/>
      <c r="H58" s="21"/>
      <c r="I58" s="21"/>
      <c r="J58" s="21"/>
      <c r="K58" s="21"/>
      <c r="L58" s="21"/>
      <c r="M58" s="21"/>
      <c r="N58" s="21"/>
    </row>
    <row r="59" customFormat="false" ht="15" hidden="false" customHeight="true" outlineLevel="0" collapsed="false">
      <c r="B59" s="31" t="s">
        <v>138</v>
      </c>
      <c r="D59" s="32" t="n">
        <f aca="false">D11/'Income Statement'!D11</f>
        <v>0.973141136177618</v>
      </c>
      <c r="E59" s="32" t="n">
        <f aca="false">E11/'Income Statement'!E11</f>
        <v>0.859707023738769</v>
      </c>
      <c r="F59" s="32" t="n">
        <f aca="false">F11/'Income Statement'!F11</f>
        <v>0.690769120936652</v>
      </c>
      <c r="G59" s="32" t="n">
        <f aca="false">G11/'Income Statement'!G11</f>
        <v>0.458092500126091</v>
      </c>
      <c r="H59" s="32" t="n">
        <f aca="false">H11/'Income Statement'!H11</f>
        <v>0.36126748932355</v>
      </c>
      <c r="I59" s="32" t="n">
        <f aca="false">I11/'Income Statement'!I11</f>
        <v>0.23346741622539</v>
      </c>
      <c r="J59" s="42" t="n">
        <f aca="false">$I$59</f>
        <v>0.23346741622539</v>
      </c>
      <c r="K59" s="42" t="n">
        <f aca="false">$I$59</f>
        <v>0.23346741622539</v>
      </c>
      <c r="L59" s="42" t="n">
        <f aca="false">$I$59</f>
        <v>0.23346741622539</v>
      </c>
      <c r="M59" s="42" t="n">
        <f aca="false">$I$59</f>
        <v>0.23346741622539</v>
      </c>
      <c r="N59" s="42" t="n">
        <f aca="false">$I$59</f>
        <v>0.23346741622539</v>
      </c>
    </row>
    <row r="60" customFormat="false" ht="15" hidden="false" customHeight="true" outlineLevel="0" collapsed="false">
      <c r="B60" s="31" t="s">
        <v>139</v>
      </c>
      <c r="D60" s="32" t="n">
        <f aca="false">D12/'Income Statement'!D11</f>
        <v>0.234609791565681</v>
      </c>
      <c r="E60" s="32" t="n">
        <f aca="false">E12/'Income Statement'!E11</f>
        <v>0.223829668216621</v>
      </c>
      <c r="F60" s="32" t="n">
        <f aca="false">F12/'Income Statement'!F11</f>
        <v>0.226327875874542</v>
      </c>
      <c r="G60" s="32" t="n">
        <f aca="false">G12/'Income Statement'!G11</f>
        <v>0.223235991324961</v>
      </c>
      <c r="H60" s="32" t="n">
        <f aca="false">H12/'Income Statement'!H11</f>
        <v>0.229752495104169</v>
      </c>
      <c r="I60" s="32" t="n">
        <f aca="false">I12/'Income Statement'!I11</f>
        <v>0.23222721746722</v>
      </c>
      <c r="J60" s="42" t="n">
        <f aca="false">$I$60</f>
        <v>0.23222721746722</v>
      </c>
      <c r="K60" s="42" t="n">
        <f aca="false">$I$60</f>
        <v>0.23222721746722</v>
      </c>
      <c r="L60" s="42" t="n">
        <f aca="false">$I$60</f>
        <v>0.23222721746722</v>
      </c>
      <c r="M60" s="42" t="n">
        <f aca="false">$I$60</f>
        <v>0.23222721746722</v>
      </c>
      <c r="N60" s="42" t="n">
        <f aca="false">$I$60</f>
        <v>0.23222721746722</v>
      </c>
    </row>
    <row r="61" customFormat="false" ht="15" hidden="false" customHeight="true" outlineLevel="0" collapsed="false">
      <c r="B61" s="31" t="s">
        <v>140</v>
      </c>
      <c r="D61" s="32" t="n">
        <f aca="false">D13/'Income Statement'!D17</f>
        <v>0.0480773712421347</v>
      </c>
      <c r="E61" s="32" t="n">
        <f aca="false">E13/'Income Statement'!E17</f>
        <v>0.0411259169234776</v>
      </c>
      <c r="F61" s="32" t="n">
        <f aca="false">F13/'Income Statement'!F17</f>
        <v>0.0504671465768112</v>
      </c>
      <c r="G61" s="32" t="n">
        <f aca="false">G13/'Income Statement'!G17</f>
        <v>0.0597286512370311</v>
      </c>
      <c r="H61" s="32" t="n">
        <f aca="false">H13/'Income Statement'!H17</f>
        <v>0.0379575786101453</v>
      </c>
      <c r="I61" s="32" t="n">
        <f aca="false">I13/'Income Statement'!I17</f>
        <v>0.0168119383652211</v>
      </c>
      <c r="J61" s="42" t="n">
        <f aca="false">$I$61</f>
        <v>0.0168119383652211</v>
      </c>
      <c r="K61" s="42" t="n">
        <f aca="false">$I$61</f>
        <v>0.0168119383652211</v>
      </c>
      <c r="L61" s="42" t="n">
        <f aca="false">$I$61</f>
        <v>0.0168119383652211</v>
      </c>
      <c r="M61" s="42" t="n">
        <f aca="false">$I$61</f>
        <v>0.0168119383652211</v>
      </c>
      <c r="N61" s="42" t="n">
        <f aca="false">$I$61</f>
        <v>0.0168119383652211</v>
      </c>
    </row>
    <row r="62" customFormat="false" ht="15" hidden="false" customHeight="true" outlineLevel="0" collapsed="false">
      <c r="B62" s="31" t="s">
        <v>141</v>
      </c>
      <c r="D62" s="32" t="n">
        <f aca="false">D14/'Income Statement'!D11</f>
        <v>0.080624269923635</v>
      </c>
      <c r="E62" s="32" t="n">
        <f aca="false">E14/'Income Statement'!E11</f>
        <v>0.0802852847603398</v>
      </c>
      <c r="F62" s="32" t="n">
        <f aca="false">F14/'Income Statement'!F11</f>
        <v>0.0796785017371853</v>
      </c>
      <c r="G62" s="32" t="n">
        <f aca="false">G14/'Income Statement'!G11</f>
        <v>0.0853583497251223</v>
      </c>
      <c r="H62" s="32" t="n">
        <f aca="false">H14/'Income Statement'!H11</f>
        <v>0.10290446641342</v>
      </c>
      <c r="I62" s="32" t="n">
        <f aca="false">I14/'Income Statement'!I11</f>
        <v>0.106155302257651</v>
      </c>
      <c r="J62" s="42" t="n">
        <f aca="false">$I$62</f>
        <v>0.106155302257651</v>
      </c>
      <c r="K62" s="42" t="n">
        <f aca="false">$I$62</f>
        <v>0.106155302257651</v>
      </c>
      <c r="L62" s="42" t="n">
        <f aca="false">$I$62</f>
        <v>0.106155302257651</v>
      </c>
      <c r="M62" s="42" t="n">
        <f aca="false">$I$62</f>
        <v>0.106155302257651</v>
      </c>
      <c r="N62" s="42" t="n">
        <f aca="false">$I$62</f>
        <v>0.106155302257651</v>
      </c>
    </row>
    <row r="63" customFormat="false" ht="15" hidden="false" customHeight="true" outlineLevel="0" collapsed="false">
      <c r="B63" s="31" t="s">
        <v>142</v>
      </c>
      <c r="D63" s="32" t="n">
        <f aca="false">D19/'Income Statement'!D11</f>
        <v>0.0586365550725905</v>
      </c>
      <c r="E63" s="32" t="n">
        <f aca="false">E19/'Income Statement'!E11</f>
        <v>0.0612033702758452</v>
      </c>
      <c r="F63" s="32" t="n">
        <f aca="false">F19/'Income Statement'!F11</f>
        <v>0.0659654466707915</v>
      </c>
      <c r="G63" s="32" t="n">
        <f aca="false">G19/'Income Statement'!G11</f>
        <v>0.06631361275029</v>
      </c>
      <c r="H63" s="32" t="n">
        <f aca="false">H19/'Income Statement'!H11</f>
        <v>0.0676969539673926</v>
      </c>
      <c r="I63" s="32" t="n">
        <f aca="false">I19/'Income Statement'!I11</f>
        <v>0.0773533179396382</v>
      </c>
      <c r="J63" s="42" t="n">
        <f aca="false">$I$63</f>
        <v>0.0773533179396382</v>
      </c>
      <c r="K63" s="42" t="n">
        <f aca="false">$I$63</f>
        <v>0.0773533179396382</v>
      </c>
      <c r="L63" s="42" t="n">
        <f aca="false">$I$63</f>
        <v>0.0773533179396382</v>
      </c>
      <c r="M63" s="42" t="n">
        <f aca="false">$I$63</f>
        <v>0.0773533179396382</v>
      </c>
      <c r="N63" s="42" t="n">
        <f aca="false">$I$63</f>
        <v>0.0773533179396382</v>
      </c>
    </row>
    <row r="64" customFormat="false" ht="15" hidden="false" customHeight="true" outlineLevel="0" collapsed="false">
      <c r="B64" s="31" t="s">
        <v>143</v>
      </c>
      <c r="D64" s="32" t="n">
        <f aca="false">D20/'Income Statement'!D11</f>
        <v>0.0210500385400857</v>
      </c>
      <c r="E64" s="32" t="n">
        <f aca="false">E20/'Income Statement'!E11</f>
        <v>0.0207320910394015</v>
      </c>
      <c r="F64" s="32" t="n">
        <f aca="false">F20/'Income Statement'!F11</f>
        <v>0.0356003997905859</v>
      </c>
      <c r="G64" s="32" t="n">
        <f aca="false">G20/'Income Statement'!G11</f>
        <v>0.0347556362535936</v>
      </c>
      <c r="H64" s="32" t="n">
        <f aca="false">H20/'Income Statement'!H11</f>
        <v>0.0466177476818536</v>
      </c>
      <c r="I64" s="32" t="n">
        <f aca="false">I20/'Income Statement'!I11</f>
        <v>0.0595621772015568</v>
      </c>
      <c r="J64" s="42" t="n">
        <f aca="false">$I$64</f>
        <v>0.0595621772015568</v>
      </c>
      <c r="K64" s="42" t="n">
        <f aca="false">$I$64</f>
        <v>0.0595621772015568</v>
      </c>
      <c r="L64" s="42" t="n">
        <f aca="false">$I$64</f>
        <v>0.0595621772015568</v>
      </c>
      <c r="M64" s="42" t="n">
        <f aca="false">$I$64</f>
        <v>0.0595621772015568</v>
      </c>
      <c r="N64" s="42" t="n">
        <f aca="false">$I$64</f>
        <v>0.0595621772015568</v>
      </c>
    </row>
    <row r="65" customFormat="false" ht="15" hidden="false" customHeight="true" outlineLevel="0" collapsed="false">
      <c r="B65" s="31" t="s">
        <v>144</v>
      </c>
      <c r="D65" s="32" t="n">
        <f aca="false">D23/'Income Statement'!D11</f>
        <v>0.116994985815659</v>
      </c>
      <c r="E65" s="32" t="n">
        <f aca="false">E23/'Income Statement'!E11</f>
        <v>0.0918644897388386</v>
      </c>
      <c r="F65" s="32" t="n">
        <f aca="false">F23/'Income Statement'!F11</f>
        <v>0.0896851649136167</v>
      </c>
      <c r="G65" s="32" t="n">
        <f aca="false">G23/'Income Statement'!G11</f>
        <v>0.110440308669995</v>
      </c>
      <c r="H65" s="32" t="n">
        <f aca="false">H23/'Income Statement'!H11</f>
        <v>0.144402236745865</v>
      </c>
      <c r="I65" s="32" t="n">
        <f aca="false">I23/'Income Statement'!I11</f>
        <v>0.148742258956764</v>
      </c>
      <c r="J65" s="42" t="n">
        <f aca="false">$I$65</f>
        <v>0.148742258956764</v>
      </c>
      <c r="K65" s="42" t="n">
        <f aca="false">$I$65</f>
        <v>0.148742258956764</v>
      </c>
      <c r="L65" s="42" t="n">
        <f aca="false">$I$65</f>
        <v>0.148742258956764</v>
      </c>
      <c r="M65" s="42" t="n">
        <f aca="false">$I$65</f>
        <v>0.148742258956764</v>
      </c>
      <c r="N65" s="42" t="n">
        <f aca="false">$I$65</f>
        <v>0.148742258956764</v>
      </c>
    </row>
    <row r="66" customFormat="false" ht="15" hidden="false" customHeight="true" outlineLevel="0" collapsed="false">
      <c r="B66" s="31" t="s">
        <v>145</v>
      </c>
      <c r="D66" s="32" t="n">
        <f aca="false">D29/'Income Statement'!D17</f>
        <v>0.218643672803542</v>
      </c>
      <c r="E66" s="32" t="n">
        <f aca="false">E29/'Income Statement'!E17</f>
        <v>0.27193020530405</v>
      </c>
      <c r="F66" s="32" t="n">
        <f aca="false">F29/'Income Statement'!F17</f>
        <v>0.290300964925716</v>
      </c>
      <c r="G66" s="32" t="n">
        <f aca="false">G29/'Income Statement'!G17</f>
        <v>0.303272146847566</v>
      </c>
      <c r="H66" s="32" t="n">
        <f aca="false">H29/'Income Statement'!H17</f>
        <v>0.274736953980232</v>
      </c>
      <c r="I66" s="32" t="n">
        <f aca="false">I29/'Income Statement'!I17</f>
        <v>0.296786032328575</v>
      </c>
      <c r="J66" s="42" t="n">
        <f aca="false">$I$66</f>
        <v>0.296786032328575</v>
      </c>
      <c r="K66" s="42" t="n">
        <f aca="false">$I$66</f>
        <v>0.296786032328575</v>
      </c>
      <c r="L66" s="42" t="n">
        <f aca="false">$I$66</f>
        <v>0.296786032328575</v>
      </c>
      <c r="M66" s="42" t="n">
        <f aca="false">$I$66</f>
        <v>0.296786032328575</v>
      </c>
      <c r="N66" s="42" t="n">
        <f aca="false">$I$66</f>
        <v>0.296786032328575</v>
      </c>
    </row>
    <row r="67" customFormat="false" ht="15" hidden="false" customHeight="true" outlineLevel="0" collapsed="false">
      <c r="B67" s="31" t="s">
        <v>146</v>
      </c>
      <c r="D67" s="32" t="n">
        <f aca="false">D32/'Income Statement'!D11</f>
        <v>0.0542739763038071</v>
      </c>
      <c r="E67" s="32" t="n">
        <f aca="false">E32/'Income Statement'!E11</f>
        <v>0.055057161836171</v>
      </c>
      <c r="F67" s="32" t="n">
        <f aca="false">F32/'Income Statement'!F11</f>
        <v>0.0598317547951073</v>
      </c>
      <c r="G67" s="32" t="n">
        <f aca="false">G32/'Income Statement'!G11</f>
        <v>0.053770111464165</v>
      </c>
      <c r="H67" s="32" t="n">
        <f aca="false">H32/'Income Statement'!H11</f>
        <v>0.0519500743222519</v>
      </c>
      <c r="I67" s="32" t="n">
        <f aca="false">I32/'Income Statement'!I11</f>
        <v>0.0512561092027643</v>
      </c>
      <c r="J67" s="42" t="n">
        <f aca="false">$I$67</f>
        <v>0.0512561092027643</v>
      </c>
      <c r="K67" s="42" t="n">
        <f aca="false">$I$67</f>
        <v>0.0512561092027643</v>
      </c>
      <c r="L67" s="42" t="n">
        <f aca="false">$I$67</f>
        <v>0.0512561092027643</v>
      </c>
      <c r="M67" s="42" t="n">
        <f aca="false">$I$67</f>
        <v>0.0512561092027643</v>
      </c>
      <c r="N67" s="42" t="n">
        <f aca="false">$I$67</f>
        <v>0.0512561092027643</v>
      </c>
    </row>
    <row r="68" customFormat="false" ht="15" hidden="false" customHeight="true" outlineLevel="0" collapsed="false">
      <c r="B68" s="31" t="s">
        <v>147</v>
      </c>
      <c r="D68" s="32" t="n">
        <f aca="false">D33/'Income Statement'!D34</f>
        <v>1.27360611510791</v>
      </c>
      <c r="E68" s="32" t="n">
        <f aca="false">E33/'Income Statement'!E34</f>
        <v>0.24328954882924</v>
      </c>
      <c r="F68" s="32" t="n">
        <f aca="false">F33/'Income Statement'!F34</f>
        <v>0.221137219001119</v>
      </c>
      <c r="G68" s="32" t="n">
        <f aca="false">G33/'Income Statement'!G34</f>
        <v>0.370468209145564</v>
      </c>
      <c r="H68" s="32" t="n">
        <f aca="false">H33/'Income Statement'!H34</f>
        <v>0.244955752212389</v>
      </c>
      <c r="I68" s="32" t="n">
        <f aca="false">I33/'Income Statement'!I34</f>
        <v>0.255305073533154</v>
      </c>
      <c r="J68" s="42" t="n">
        <f aca="false">$I$68</f>
        <v>0.255305073533154</v>
      </c>
      <c r="K68" s="42" t="n">
        <f aca="false">$I$68</f>
        <v>0.255305073533154</v>
      </c>
      <c r="L68" s="42" t="n">
        <f aca="false">$I$68</f>
        <v>0.255305073533154</v>
      </c>
      <c r="M68" s="42" t="n">
        <f aca="false">$I$68</f>
        <v>0.255305073533154</v>
      </c>
      <c r="N68" s="42" t="n">
        <f aca="false">$I$68</f>
        <v>0.255305073533154</v>
      </c>
    </row>
    <row r="69" customFormat="false" ht="15" hidden="false" customHeight="true" outlineLevel="0" collapsed="false">
      <c r="B69" s="31" t="s">
        <v>148</v>
      </c>
      <c r="D69" s="32" t="n">
        <f aca="false">D34/'Income Statement'!D11</f>
        <v>0.259656874041464</v>
      </c>
      <c r="E69" s="32" t="n">
        <f aca="false">E34/'Income Statement'!E11</f>
        <v>0.251721847358669</v>
      </c>
      <c r="F69" s="32" t="n">
        <f aca="false">F34/'Income Statement'!F11</f>
        <v>0.247043215458569</v>
      </c>
      <c r="G69" s="32" t="n">
        <f aca="false">G34/'Income Statement'!G11</f>
        <v>0.229676703485147</v>
      </c>
      <c r="H69" s="32" t="n">
        <f aca="false">H34/'Income Statement'!H11</f>
        <v>0.24019536134771</v>
      </c>
      <c r="I69" s="32" t="n">
        <f aca="false">I34/'Income Statement'!I11</f>
        <v>0.234911595042469</v>
      </c>
      <c r="J69" s="42" t="n">
        <f aca="false">$I$69</f>
        <v>0.234911595042469</v>
      </c>
      <c r="K69" s="42" t="n">
        <f aca="false">$I$69</f>
        <v>0.234911595042469</v>
      </c>
      <c r="L69" s="42" t="n">
        <f aca="false">$I$69</f>
        <v>0.234911595042469</v>
      </c>
      <c r="M69" s="42" t="n">
        <f aca="false">$I$69</f>
        <v>0.234911595042469</v>
      </c>
      <c r="N69" s="42" t="n">
        <f aca="false">$I$69</f>
        <v>0.234911595042469</v>
      </c>
    </row>
    <row r="70" customFormat="false" ht="15" hidden="false" customHeight="true" outlineLevel="0" collapsed="false">
      <c r="B70" s="31" t="s">
        <v>149</v>
      </c>
      <c r="D70" s="32" t="n">
        <f aca="false">D35/'Income Statement'!D11</f>
        <v>0.0743068744387848</v>
      </c>
      <c r="E70" s="32" t="n">
        <f aca="false">E35/'Income Statement'!E11</f>
        <v>0.070111526762927</v>
      </c>
      <c r="F70" s="32" t="n">
        <f aca="false">F35/'Income Statement'!F11</f>
        <v>0.069404121650564</v>
      </c>
      <c r="G70" s="32" t="n">
        <f aca="false">G35/'Income Statement'!G11</f>
        <v>0.0659050789327685</v>
      </c>
      <c r="H70" s="32" t="n">
        <f aca="false">H35/'Income Statement'!H11</f>
        <v>0.0695797843474978</v>
      </c>
      <c r="I70" s="32" t="n">
        <f aca="false">I35/'Income Statement'!I11</f>
        <v>0.0782671486035525</v>
      </c>
      <c r="J70" s="42" t="n">
        <f aca="false">$I$70</f>
        <v>0.0782671486035525</v>
      </c>
      <c r="K70" s="42" t="n">
        <f aca="false">$I$70</f>
        <v>0.0782671486035525</v>
      </c>
      <c r="L70" s="42" t="n">
        <f aca="false">$I$70</f>
        <v>0.0782671486035525</v>
      </c>
      <c r="M70" s="42" t="n">
        <f aca="false">$I$70</f>
        <v>0.0782671486035525</v>
      </c>
      <c r="N70" s="42" t="n">
        <f aca="false">$I$70</f>
        <v>0.0782671486035525</v>
      </c>
    </row>
    <row r="71" customFormat="false" ht="15" hidden="false" customHeight="true" outlineLevel="0" collapsed="false">
      <c r="B71" s="31" t="s">
        <v>150</v>
      </c>
      <c r="D71" s="32" t="n">
        <f aca="false">D41/'Income Statement'!D11</f>
        <v>0.0359972346495236</v>
      </c>
      <c r="E71" s="32" t="n">
        <f aca="false">E41/'Income Statement'!E11</f>
        <v>0.0222354298500157</v>
      </c>
      <c r="F71" s="32" t="n">
        <f aca="false">F41/'Income Statement'!F11</f>
        <v>0.0155632763790396</v>
      </c>
      <c r="G71" s="32" t="n">
        <f aca="false">G41/'Income Statement'!G11</f>
        <v>0.014475210571443</v>
      </c>
      <c r="H71" s="32" t="n">
        <f aca="false">H41/'Income Statement'!H11</f>
        <v>0.013741358563575</v>
      </c>
      <c r="I71" s="32" t="n">
        <f aca="false">I41/'Income Statement'!I11</f>
        <v>0.0106151222656473</v>
      </c>
      <c r="J71" s="42" t="n">
        <f aca="false">$I$71</f>
        <v>0.0106151222656473</v>
      </c>
      <c r="K71" s="42" t="n">
        <f aca="false">$I$71</f>
        <v>0.0106151222656473</v>
      </c>
      <c r="L71" s="42" t="n">
        <f aca="false">$I$71</f>
        <v>0.0106151222656473</v>
      </c>
      <c r="M71" s="42" t="n">
        <f aca="false">$I$71</f>
        <v>0.0106151222656473</v>
      </c>
      <c r="N71" s="42" t="n">
        <f aca="false">$I$71</f>
        <v>0.0106151222656473</v>
      </c>
    </row>
    <row r="72" customFormat="false" ht="15" hidden="false" customHeight="true" outlineLevel="0" collapsed="false">
      <c r="B72" s="31" t="s">
        <v>151</v>
      </c>
      <c r="D72" s="32" t="n">
        <f aca="false">D43/'Income Statement'!D11</f>
        <v>0.0491723814594376</v>
      </c>
      <c r="E72" s="32" t="n">
        <f aca="false">E43/'Income Statement'!E11</f>
        <v>0.0536377303080097</v>
      </c>
      <c r="F72" s="32" t="n">
        <f aca="false">F43/'Income Statement'!F11</f>
        <v>0.0572854695159678</v>
      </c>
      <c r="G72" s="32" t="n">
        <f aca="false">G43/'Income Statement'!G11</f>
        <v>0.0579462349321632</v>
      </c>
      <c r="H72" s="32" t="n">
        <f aca="false">H43/'Income Statement'!H11</f>
        <v>0.0600618172380436</v>
      </c>
      <c r="I72" s="32" t="n">
        <f aca="false">I43/'Income Statement'!I11</f>
        <v>0.0632215794583921</v>
      </c>
      <c r="J72" s="42" t="n">
        <f aca="false">$I$72</f>
        <v>0.0632215794583921</v>
      </c>
      <c r="K72" s="42" t="n">
        <f aca="false">$I$72</f>
        <v>0.0632215794583921</v>
      </c>
      <c r="L72" s="42" t="n">
        <f aca="false">$I$72</f>
        <v>0.0632215794583921</v>
      </c>
      <c r="M72" s="42" t="n">
        <f aca="false">$I$72</f>
        <v>0.0632215794583921</v>
      </c>
      <c r="N72" s="42" t="n">
        <f aca="false">$I$72</f>
        <v>0.0632215794583921</v>
      </c>
    </row>
    <row r="73" customFormat="false" ht="15" hidden="false" customHeight="true" outlineLevel="0" collapsed="false">
      <c r="B73" s="31" t="s">
        <v>152</v>
      </c>
      <c r="D73" s="32" t="n">
        <f aca="false">D44/'Income Statement'!D11</f>
        <v>0.0602417297744014</v>
      </c>
      <c r="E73" s="32" t="n">
        <f aca="false">E44/'Income Statement'!E11</f>
        <v>0.0743418522532602</v>
      </c>
      <c r="F73" s="32" t="n">
        <f aca="false">F44/'Income Statement'!F11</f>
        <v>0.0798807767359954</v>
      </c>
      <c r="G73" s="32" t="n">
        <f aca="false">G44/'Income Statement'!G11</f>
        <v>0.0783073586523428</v>
      </c>
      <c r="H73" s="32" t="n">
        <f aca="false">H44/'Income Statement'!H11</f>
        <v>0.0848500578061959</v>
      </c>
      <c r="I73" s="32" t="n">
        <f aca="false">I44/'Income Statement'!I11</f>
        <v>0.110410326286502</v>
      </c>
      <c r="J73" s="42" t="n">
        <f aca="false">$I$73</f>
        <v>0.110410326286502</v>
      </c>
      <c r="K73" s="42" t="n">
        <f aca="false">$I$73</f>
        <v>0.110410326286502</v>
      </c>
      <c r="L73" s="42" t="n">
        <f aca="false">$I$73</f>
        <v>0.110410326286502</v>
      </c>
      <c r="M73" s="42" t="n">
        <f aca="false">$I$73</f>
        <v>0.110410326286502</v>
      </c>
      <c r="N73" s="42" t="n">
        <f aca="false">$I$73</f>
        <v>0.110410326286502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50"/>
    <col collapsed="false" customWidth="true" hidden="false" outlineLevel="0" max="3" min="3" style="1" width="2"/>
    <col collapsed="false" customWidth="true" hidden="false" outlineLevel="0" max="14" min="4" style="1" width="12"/>
    <col collapsed="false" customWidth="true" hidden="false" outlineLevel="0" max="16" min="16" style="1" width="3"/>
    <col collapsed="false" customWidth="true" hidden="false" outlineLevel="0" max="17" min="17" style="1" width="45"/>
  </cols>
  <sheetData>
    <row r="1" customFormat="false" ht="17.25" hidden="false" customHeight="true" outlineLevel="0" collapsed="false">
      <c r="A1" s="25" t="s">
        <v>0</v>
      </c>
    </row>
    <row r="2" customFormat="false" ht="15" hidden="false" customHeight="true" outlineLevel="0" collapsed="false">
      <c r="A2" s="11" t="s">
        <v>13</v>
      </c>
    </row>
    <row r="3" customFormat="false" ht="15" hidden="false" customHeight="true" outlineLevel="0" collapsed="false">
      <c r="A3" s="12" t="s">
        <v>53</v>
      </c>
    </row>
    <row r="4" customFormat="false" ht="15" hidden="false" customHeight="true" outlineLevel="0" collapsed="false">
      <c r="D4" s="13" t="s">
        <v>32</v>
      </c>
      <c r="E4" s="13" t="s">
        <v>32</v>
      </c>
      <c r="F4" s="13" t="s">
        <v>32</v>
      </c>
      <c r="G4" s="13" t="s">
        <v>32</v>
      </c>
      <c r="H4" s="13" t="s">
        <v>32</v>
      </c>
      <c r="I4" s="13" t="s">
        <v>32</v>
      </c>
      <c r="J4" s="14" t="s">
        <v>33</v>
      </c>
      <c r="K4" s="14" t="s">
        <v>33</v>
      </c>
      <c r="L4" s="14" t="s">
        <v>33</v>
      </c>
      <c r="M4" s="14" t="s">
        <v>33</v>
      </c>
      <c r="N4" s="14" t="s">
        <v>33</v>
      </c>
    </row>
    <row r="5" customFormat="false" ht="15" hidden="false" customHeight="true" outlineLevel="0" collapsed="false">
      <c r="D5" s="15" t="n">
        <v>2019</v>
      </c>
      <c r="E5" s="15" t="n">
        <v>2020</v>
      </c>
      <c r="F5" s="15" t="n">
        <v>2021</v>
      </c>
      <c r="G5" s="15" t="n">
        <v>2022</v>
      </c>
      <c r="H5" s="15" t="n">
        <v>2023</v>
      </c>
      <c r="I5" s="15" t="n">
        <v>2024</v>
      </c>
      <c r="J5" s="15" t="n">
        <v>2025</v>
      </c>
      <c r="K5" s="15" t="n">
        <v>2026</v>
      </c>
      <c r="L5" s="15" t="n">
        <v>2027</v>
      </c>
      <c r="M5" s="15" t="n">
        <v>2028</v>
      </c>
      <c r="N5" s="15" t="n">
        <v>2029</v>
      </c>
    </row>
    <row r="7" customFormat="false" ht="15" hidden="false" customHeight="true" outlineLevel="0" collapsed="false">
      <c r="B7" s="26" t="s">
        <v>153</v>
      </c>
    </row>
    <row r="9" customFormat="false" ht="15" hidden="false" customHeight="true" outlineLevel="0" collapsed="false">
      <c r="B9" s="18" t="s">
        <v>40</v>
      </c>
      <c r="D9" s="27" t="n">
        <v>39240</v>
      </c>
      <c r="E9" s="27" t="n">
        <v>44281</v>
      </c>
      <c r="F9" s="27" t="n">
        <v>61271</v>
      </c>
      <c r="G9" s="27" t="n">
        <v>72738</v>
      </c>
      <c r="H9" s="27" t="n">
        <v>72361</v>
      </c>
      <c r="I9" s="27" t="n">
        <v>88136</v>
      </c>
      <c r="J9" s="17" t="n">
        <f aca="false">'Income Statement'!J37</f>
        <v>100793.459660504</v>
      </c>
      <c r="K9" s="17" t="n">
        <f aca="false">'Income Statement'!K37</f>
        <v>115608.406924607</v>
      </c>
      <c r="L9" s="17" t="n">
        <f aca="false">'Income Statement'!L37</f>
        <v>132980.864603256</v>
      </c>
      <c r="M9" s="17" t="n">
        <f aca="false">'Income Statement'!M37</f>
        <v>153388.142629958</v>
      </c>
      <c r="N9" s="17" t="n">
        <f aca="false">'Income Statement'!N37</f>
        <v>177400.123968182</v>
      </c>
      <c r="Q9" s="29" t="s">
        <v>154</v>
      </c>
    </row>
    <row r="10" customFormat="false" ht="15" hidden="false" customHeight="true" outlineLevel="0" collapsed="false">
      <c r="B10" s="18" t="s">
        <v>155</v>
      </c>
      <c r="D10" s="27" t="n">
        <v>11682</v>
      </c>
      <c r="E10" s="27" t="n">
        <v>12796</v>
      </c>
      <c r="F10" s="27" t="n">
        <v>11686</v>
      </c>
      <c r="G10" s="27" t="n">
        <v>14460</v>
      </c>
      <c r="H10" s="27" t="n">
        <v>13861</v>
      </c>
      <c r="I10" s="27" t="n">
        <v>22287</v>
      </c>
      <c r="J10" s="17" t="n">
        <f aca="false">'PP&amp;E Schedule'!J9</f>
        <v>25439.5567123051</v>
      </c>
      <c r="K10" s="17" t="n">
        <f aca="false">'PP&amp;E Schedule'!K9</f>
        <v>29129.4725953185</v>
      </c>
      <c r="L10" s="17" t="n">
        <f aca="false">'PP&amp;E Schedule'!L9</f>
        <v>33456.3801686411</v>
      </c>
      <c r="M10" s="17" t="n">
        <f aca="false">'PP&amp;E Schedule'!M9</f>
        <v>38539.161630999</v>
      </c>
      <c r="N10" s="17" t="n">
        <f aca="false">'PP&amp;E Schedule'!N9</f>
        <v>44519.7560768003</v>
      </c>
    </row>
    <row r="11" customFormat="false" ht="15" hidden="false" customHeight="true" outlineLevel="0" collapsed="false">
      <c r="B11" s="18" t="s">
        <v>156</v>
      </c>
      <c r="D11" s="27" t="n">
        <v>4652</v>
      </c>
      <c r="E11" s="27" t="n">
        <v>5289</v>
      </c>
      <c r="F11" s="27" t="n">
        <v>6118</v>
      </c>
      <c r="G11" s="27" t="n">
        <v>7502</v>
      </c>
      <c r="H11" s="27" t="n">
        <v>9611</v>
      </c>
      <c r="I11" s="27" t="n">
        <v>10734</v>
      </c>
      <c r="J11" s="17" t="n">
        <f aca="false">'Income Statement'!J11*'Scenario Analysis'!$G$17</f>
        <v>12252.3534683844</v>
      </c>
      <c r="K11" s="17" t="n">
        <f aca="false">'Income Statement'!K11*'Scenario Analysis'!$G$17</f>
        <v>14029.5131169807</v>
      </c>
      <c r="L11" s="17" t="n">
        <f aca="false">'Income Statement'!L11*'Scenario Analysis'!$G$17</f>
        <v>16113.4645636556</v>
      </c>
      <c r="M11" s="17" t="n">
        <f aca="false">'Income Statement'!M11*'Scenario Analysis'!$G$17</f>
        <v>18561.46457339</v>
      </c>
      <c r="N11" s="17" t="n">
        <f aca="false">'Income Statement'!N11*'Scenario Analysis'!$G$17</f>
        <v>21441.8747129885</v>
      </c>
    </row>
    <row r="12" customFormat="false" ht="15" hidden="false" customHeight="true" outlineLevel="0" collapsed="false">
      <c r="B12" s="18" t="s">
        <v>157</v>
      </c>
      <c r="D12" s="27" t="n">
        <v>-792</v>
      </c>
      <c r="E12" s="27" t="n">
        <v>-219</v>
      </c>
      <c r="F12" s="27" t="n">
        <v>-1249</v>
      </c>
      <c r="G12" s="27" t="n">
        <v>-409</v>
      </c>
      <c r="H12" s="27" t="n">
        <v>196</v>
      </c>
      <c r="I12" s="27" t="n">
        <v>305</v>
      </c>
      <c r="J12" s="27" t="n">
        <v>0</v>
      </c>
      <c r="K12" s="27" t="n">
        <v>0</v>
      </c>
      <c r="L12" s="27" t="n">
        <v>0</v>
      </c>
      <c r="M12" s="27" t="n">
        <v>0</v>
      </c>
      <c r="N12" s="27" t="n">
        <v>0</v>
      </c>
    </row>
    <row r="13" customFormat="false" ht="15" hidden="false" customHeight="true" outlineLevel="0" collapsed="false">
      <c r="B13" s="18" t="s">
        <v>123</v>
      </c>
      <c r="D13" s="27" t="n">
        <v>-6463</v>
      </c>
      <c r="E13" s="27" t="n">
        <v>11</v>
      </c>
      <c r="F13" s="27" t="n">
        <v>-150</v>
      </c>
      <c r="G13" s="27" t="n">
        <v>-5702</v>
      </c>
      <c r="H13" s="27" t="n">
        <v>-6059</v>
      </c>
      <c r="I13" s="27" t="n">
        <v>-4738</v>
      </c>
      <c r="J13" s="27" t="n">
        <v>0</v>
      </c>
      <c r="K13" s="27" t="n">
        <v>0</v>
      </c>
      <c r="L13" s="27" t="n">
        <v>0</v>
      </c>
      <c r="M13" s="27" t="n">
        <v>0</v>
      </c>
      <c r="N13" s="27" t="n">
        <v>0</v>
      </c>
    </row>
    <row r="15" customFormat="false" ht="15" hidden="false" customHeight="true" outlineLevel="0" collapsed="false">
      <c r="B15" s="37" t="s">
        <v>158</v>
      </c>
    </row>
    <row r="16" customFormat="false" ht="15" hidden="false" customHeight="true" outlineLevel="0" collapsed="false">
      <c r="B16" s="18" t="s">
        <v>159</v>
      </c>
      <c r="D16" s="27" t="n">
        <v>-2812</v>
      </c>
      <c r="E16" s="27" t="n">
        <v>-2577</v>
      </c>
      <c r="F16" s="27" t="n">
        <v>-6481</v>
      </c>
      <c r="G16" s="27" t="n">
        <v>-6834</v>
      </c>
      <c r="H16" s="27" t="n">
        <v>-4087</v>
      </c>
      <c r="I16" s="27" t="n">
        <v>-7191</v>
      </c>
      <c r="J16" s="17" t="n">
        <f aca="false">-('Balance Sheet'!J12-'Balance Sheet'!I12)</f>
        <v>-8052.05448428484</v>
      </c>
      <c r="K16" s="17" t="n">
        <f aca="false">-('Balance Sheet'!K12-'Balance Sheet'!J12)</f>
        <v>-9424.54218713388</v>
      </c>
      <c r="L16" s="17" t="n">
        <f aca="false">-('Balance Sheet'!L12-'Balance Sheet'!K12)</f>
        <v>-11051.5047652808</v>
      </c>
      <c r="M16" s="17" t="n">
        <f aca="false">-('Balance Sheet'!M12-'Balance Sheet'!L12)</f>
        <v>-12982.1084920925</v>
      </c>
      <c r="N16" s="17" t="n">
        <f aca="false">-('Balance Sheet'!N12-'Balance Sheet'!M12)</f>
        <v>-15275.2437848428</v>
      </c>
    </row>
    <row r="17" customFormat="false" ht="15" hidden="false" customHeight="true" outlineLevel="0" collapsed="false">
      <c r="B17" s="18" t="s">
        <v>160</v>
      </c>
      <c r="D17" s="27" t="n">
        <v>597</v>
      </c>
      <c r="E17" s="27" t="n">
        <v>168</v>
      </c>
      <c r="F17" s="27" t="n">
        <v>-737</v>
      </c>
      <c r="G17" s="27" t="n">
        <v>-1123</v>
      </c>
      <c r="H17" s="27" t="n">
        <v>1242</v>
      </c>
      <c r="I17" s="27" t="n">
        <v>1284</v>
      </c>
      <c r="J17" s="17" t="n">
        <f aca="false">-('Balance Sheet'!J13-'Balance Sheet'!I13)</f>
        <v>-176.25008585867</v>
      </c>
      <c r="K17" s="17" t="n">
        <f aca="false">-('Balance Sheet'!K13-'Balance Sheet'!J13)</f>
        <v>-206.292241676074</v>
      </c>
      <c r="L17" s="17" t="n">
        <f aca="false">-('Balance Sheet'!L13-'Balance Sheet'!K13)</f>
        <v>-241.904555855876</v>
      </c>
      <c r="M17" s="17" t="n">
        <f aca="false">-('Balance Sheet'!M13-'Balance Sheet'!L13)</f>
        <v>-284.163220805763</v>
      </c>
      <c r="N17" s="17" t="n">
        <f aca="false">-('Balance Sheet'!N13-'Balance Sheet'!M13)</f>
        <v>-334.357279107478</v>
      </c>
    </row>
    <row r="18" customFormat="false" ht="15" hidden="false" customHeight="true" outlineLevel="0" collapsed="false">
      <c r="B18" s="18" t="s">
        <v>161</v>
      </c>
      <c r="D18" s="27" t="n">
        <v>-1718</v>
      </c>
      <c r="E18" s="27" t="n">
        <v>-2330</v>
      </c>
      <c r="F18" s="27" t="n">
        <v>-932</v>
      </c>
      <c r="G18" s="27" t="n">
        <v>-709</v>
      </c>
      <c r="H18" s="27" t="n">
        <v>-1991</v>
      </c>
      <c r="I18" s="27" t="n">
        <v>-1648</v>
      </c>
      <c r="J18" s="17" t="n">
        <f aca="false">-('Balance Sheet'!J14-'Balance Sheet'!I14)</f>
        <v>-3680.74115901159</v>
      </c>
      <c r="K18" s="17" t="n">
        <f aca="false">-('Balance Sheet'!K14-'Balance Sheet'!J14)</f>
        <v>-4308.13035365419</v>
      </c>
      <c r="L18" s="17" t="n">
        <f aca="false">-('Balance Sheet'!L14-'Balance Sheet'!K14)</f>
        <v>-5051.84466125663</v>
      </c>
      <c r="M18" s="17" t="n">
        <f aca="false">-('Balance Sheet'!M14-'Balance Sheet'!L14)</f>
        <v>-5934.35888329596</v>
      </c>
      <c r="N18" s="17" t="n">
        <f aca="false">-('Balance Sheet'!N14-'Balance Sheet'!M14)</f>
        <v>-6982.59290502063</v>
      </c>
    </row>
    <row r="19" customFormat="false" ht="15" hidden="false" customHeight="true" outlineLevel="0" collapsed="false">
      <c r="B19" s="18" t="s">
        <v>162</v>
      </c>
      <c r="D19" s="27" t="n">
        <v>-1834</v>
      </c>
      <c r="E19" s="27" t="n">
        <v>-1037</v>
      </c>
      <c r="F19" s="27" t="n">
        <v>-3459</v>
      </c>
      <c r="G19" s="27" t="n">
        <v>-2805</v>
      </c>
      <c r="H19" s="27" t="n">
        <v>-2833</v>
      </c>
      <c r="I19" s="27" t="n">
        <v>-6817</v>
      </c>
      <c r="J19" s="17" t="n">
        <f aca="false">-(('Balance Sheet'!J23-'Balance Sheet'!I23)+('Balance Sheet'!J19-'Balance Sheet'!I19)+('Balance Sheet'!J20-'Balance Sheet'!I20))</f>
        <v>-9904.66072384422</v>
      </c>
      <c r="K19" s="17" t="n">
        <f aca="false">-(('Balance Sheet'!K23-'Balance Sheet'!J23)+('Balance Sheet'!K19-'Balance Sheet'!J19)+('Balance Sheet'!K20-'Balance Sheet'!J20))</f>
        <v>-11592.9286150886</v>
      </c>
      <c r="L19" s="17" t="n">
        <f aca="false">-(('Balance Sheet'!L23-'Balance Sheet'!K23)+('Balance Sheet'!L19-'Balance Sheet'!K19)+('Balance Sheet'!L20-'Balance Sheet'!K20))</f>
        <v>-13594.220630485</v>
      </c>
      <c r="M19" s="17" t="n">
        <f aca="false">-(('Balance Sheet'!M23-'Balance Sheet'!L23)+('Balance Sheet'!M19-'Balance Sheet'!L19)+('Balance Sheet'!M20-'Balance Sheet'!L20))</f>
        <v>-15969.0151557306</v>
      </c>
      <c r="N19" s="17" t="n">
        <f aca="false">-(('Balance Sheet'!N23-'Balance Sheet'!M23)+('Balance Sheet'!N19-'Balance Sheet'!M19)+('Balance Sheet'!N20-'Balance Sheet'!M20))</f>
        <v>-18789.7520388321</v>
      </c>
    </row>
    <row r="20" customFormat="false" ht="15" hidden="false" customHeight="true" outlineLevel="0" collapsed="false">
      <c r="B20" s="18" t="s">
        <v>163</v>
      </c>
      <c r="D20" s="27" t="n">
        <v>232</v>
      </c>
      <c r="E20" s="27" t="n">
        <v>3018</v>
      </c>
      <c r="F20" s="27" t="n">
        <v>2798</v>
      </c>
      <c r="G20" s="27" t="n">
        <v>2943</v>
      </c>
      <c r="H20" s="27" t="n">
        <v>-2721</v>
      </c>
      <c r="I20" s="27" t="n">
        <v>3545</v>
      </c>
      <c r="J20" s="17" t="n">
        <f aca="false">('Balance Sheet'!J29-'Balance Sheet'!I29)</f>
        <v>3111.39397154679</v>
      </c>
      <c r="K20" s="17" t="n">
        <f aca="false">('Balance Sheet'!K29-'Balance Sheet'!J29)</f>
        <v>3641.73687632979</v>
      </c>
      <c r="L20" s="17" t="n">
        <f aca="false">('Balance Sheet'!L29-'Balance Sheet'!K29)</f>
        <v>4270.41140498062</v>
      </c>
      <c r="M20" s="17" t="n">
        <f aca="false">('Balance Sheet'!M29-'Balance Sheet'!L29)</f>
        <v>5016.41589473801</v>
      </c>
      <c r="N20" s="17" t="n">
        <f aca="false">('Balance Sheet'!N29-'Balance Sheet'!M29)</f>
        <v>5902.50618880265</v>
      </c>
    </row>
    <row r="21" customFormat="false" ht="15" hidden="false" customHeight="true" outlineLevel="0" collapsed="false">
      <c r="B21" s="18" t="s">
        <v>164</v>
      </c>
      <c r="D21" s="27" t="n">
        <v>4462</v>
      </c>
      <c r="E21" s="27" t="n">
        <v>2212</v>
      </c>
      <c r="F21" s="27" t="n">
        <v>4633</v>
      </c>
      <c r="G21" s="27" t="n">
        <v>5109</v>
      </c>
      <c r="H21" s="27" t="n">
        <v>5535</v>
      </c>
      <c r="I21" s="27" t="n">
        <v>5348</v>
      </c>
      <c r="J21" s="17" t="n">
        <f aca="false">(('Balance Sheet'!J34-'Balance Sheet'!I34)+('Balance Sheet'!J41-'Balance Sheet'!I41))</f>
        <v>8513.19034295198</v>
      </c>
      <c r="K21" s="17" t="n">
        <f aca="false">(('Balance Sheet'!K34-'Balance Sheet'!J34)+('Balance Sheet'!K41-'Balance Sheet'!J41))</f>
        <v>9964.27951286744</v>
      </c>
      <c r="L21" s="17" t="n">
        <f aca="false">(('Balance Sheet'!L34-'Balance Sheet'!K34)+('Balance Sheet'!L41-'Balance Sheet'!K41))</f>
        <v>11684.4171666373</v>
      </c>
      <c r="M21" s="17" t="n">
        <f aca="false">(('Balance Sheet'!M34-'Balance Sheet'!L34)+('Balance Sheet'!M41-'Balance Sheet'!L41))</f>
        <v>13725.585297732</v>
      </c>
      <c r="N21" s="17" t="n">
        <f aca="false">(('Balance Sheet'!N34-'Balance Sheet'!M34)+('Balance Sheet'!N41-'Balance Sheet'!M41))</f>
        <v>16150.0469388479</v>
      </c>
    </row>
    <row r="22" customFormat="false" ht="15" hidden="false" customHeight="true" outlineLevel="0" collapsed="false">
      <c r="B22" s="18" t="s">
        <v>165</v>
      </c>
      <c r="D22" s="27" t="n">
        <v>2929</v>
      </c>
      <c r="E22" s="27" t="n">
        <v>-3631</v>
      </c>
      <c r="F22" s="27" t="n">
        <v>-2309</v>
      </c>
      <c r="G22" s="27" t="n">
        <v>696</v>
      </c>
      <c r="H22" s="27" t="n">
        <v>-358</v>
      </c>
      <c r="I22" s="27" t="n">
        <v>1687</v>
      </c>
      <c r="J22" s="17" t="n">
        <f aca="false">(('Balance Sheet'!J33-'Balance Sheet'!I33)+('Balance Sheet'!J40-'Balance Sheet'!I40)+('Balance Sheet'!J42-'Balance Sheet'!I42))</f>
        <v>720.50552687607</v>
      </c>
      <c r="K22" s="17" t="n">
        <f aca="false">(('Balance Sheet'!K33-'Balance Sheet'!J33)+('Balance Sheet'!K40-'Balance Sheet'!J40)+('Balance Sheet'!K42-'Balance Sheet'!J42))</f>
        <v>843.317037578362</v>
      </c>
      <c r="L22" s="17" t="n">
        <f aca="false">(('Balance Sheet'!L33-'Balance Sheet'!K33)+('Balance Sheet'!L40-'Balance Sheet'!K40)+('Balance Sheet'!L42-'Balance Sheet'!K42))</f>
        <v>988.899203206183</v>
      </c>
      <c r="M22" s="17" t="n">
        <f aca="false">(('Balance Sheet'!M33-'Balance Sheet'!L33)+('Balance Sheet'!M40-'Balance Sheet'!L40)+('Balance Sheet'!M42-'Balance Sheet'!L42))</f>
        <v>1161.65146886586</v>
      </c>
      <c r="N22" s="17" t="n">
        <f aca="false">(('Balance Sheet'!N33-'Balance Sheet'!M33)+('Balance Sheet'!N40-'Balance Sheet'!M40)+('Balance Sheet'!N42-'Balance Sheet'!M42))</f>
        <v>1366.84340534937</v>
      </c>
    </row>
    <row r="23" customFormat="false" ht="15" hidden="false" customHeight="true" outlineLevel="0" collapsed="false">
      <c r="B23" s="18" t="s">
        <v>166</v>
      </c>
      <c r="D23" s="27" t="n">
        <v>1419</v>
      </c>
      <c r="E23" s="27" t="n">
        <v>1346</v>
      </c>
      <c r="F23" s="27" t="n">
        <v>4149</v>
      </c>
      <c r="G23" s="27" t="n">
        <v>2344</v>
      </c>
      <c r="H23" s="27" t="n">
        <v>2272</v>
      </c>
      <c r="I23" s="27" t="n">
        <v>4867</v>
      </c>
      <c r="J23" s="17" t="n">
        <f aca="false">(('Balance Sheet'!J35-'Balance Sheet'!I35)+('Balance Sheet'!J32-'Balance Sheet'!I32))</f>
        <v>4490.9823241789</v>
      </c>
      <c r="K23" s="17" t="n">
        <f aca="false">(('Balance Sheet'!K35-'Balance Sheet'!J35)+('Balance Sheet'!K32-'Balance Sheet'!J32))</f>
        <v>5256.47863641546</v>
      </c>
      <c r="L23" s="17" t="n">
        <f aca="false">(('Balance Sheet'!L35-'Balance Sheet'!K35)+('Balance Sheet'!L32-'Balance Sheet'!K32))</f>
        <v>6163.90669652346</v>
      </c>
      <c r="M23" s="17" t="n">
        <f aca="false">(('Balance Sheet'!M35-'Balance Sheet'!L35)+('Balance Sheet'!M32-'Balance Sheet'!L32))</f>
        <v>7240.68868167109</v>
      </c>
      <c r="N23" s="17" t="n">
        <f aca="false">(('Balance Sheet'!N35-'Balance Sheet'!M35)+('Balance Sheet'!N32-'Balance Sheet'!M32))</f>
        <v>8519.67034862227</v>
      </c>
    </row>
    <row r="24" customFormat="false" ht="15" hidden="false" customHeight="true" outlineLevel="0" collapsed="false">
      <c r="B24" s="18" t="s">
        <v>167</v>
      </c>
      <c r="D24" s="27" t="n">
        <v>591</v>
      </c>
      <c r="E24" s="27" t="n">
        <v>1348</v>
      </c>
      <c r="F24" s="27" t="n">
        <v>1402</v>
      </c>
      <c r="G24" s="27" t="n">
        <v>825</v>
      </c>
      <c r="H24" s="27" t="n">
        <v>553</v>
      </c>
      <c r="I24" s="27" t="n">
        <v>749</v>
      </c>
      <c r="J24" s="17" t="n">
        <f aca="false">(('Balance Sheet'!J44-'Balance Sheet'!I44)+('Balance Sheet'!J43-'Balance Sheet'!I43))</f>
        <v>6020.36910451913</v>
      </c>
      <c r="K24" s="17" t="n">
        <f aca="false">(('Balance Sheet'!K44-'Balance Sheet'!J44)+('Balance Sheet'!K43-'Balance Sheet'!J43))</f>
        <v>7046.55224556611</v>
      </c>
      <c r="L24" s="17" t="n">
        <f aca="false">(('Balance Sheet'!L44-'Balance Sheet'!K44)+('Balance Sheet'!L43-'Balance Sheet'!K43))</f>
        <v>8263.00144605294</v>
      </c>
      <c r="M24" s="17" t="n">
        <f aca="false">(('Balance Sheet'!M44-'Balance Sheet'!L44)+('Balance Sheet'!M43-'Balance Sheet'!L43))</f>
        <v>9706.47740025207</v>
      </c>
      <c r="N24" s="17" t="n">
        <f aca="false">(('Balance Sheet'!N44-'Balance Sheet'!M44)+('Balance Sheet'!N43-'Balance Sheet'!M43))</f>
        <v>11421.0113612307</v>
      </c>
    </row>
    <row r="25" customFormat="false" ht="15" hidden="false" customHeight="true" outlineLevel="0" collapsed="false">
      <c r="B25" s="16" t="s">
        <v>168</v>
      </c>
      <c r="D25" s="30" t="n">
        <f aca="false">SUM(D16:D24)</f>
        <v>3866</v>
      </c>
      <c r="E25" s="30" t="n">
        <f aca="false">SUM(E16:E24)</f>
        <v>-1483</v>
      </c>
      <c r="F25" s="30" t="n">
        <f aca="false">SUM(F16:F24)</f>
        <v>-936</v>
      </c>
      <c r="G25" s="30" t="n">
        <f aca="false">SUM(G16:G24)</f>
        <v>446</v>
      </c>
      <c r="H25" s="30" t="n">
        <f aca="false">SUM(H16:H24)</f>
        <v>-2388</v>
      </c>
      <c r="I25" s="30" t="n">
        <f aca="false">SUM(I16:I24)</f>
        <v>1824</v>
      </c>
      <c r="J25" s="30" t="n">
        <f aca="false">SUM(J16:J24)</f>
        <v>1042.73481707354</v>
      </c>
      <c r="K25" s="30" t="n">
        <f aca="false">SUM(K16:K24)</f>
        <v>1220.47091120444</v>
      </c>
      <c r="L25" s="30" t="n">
        <f aca="false">SUM(L16:L24)</f>
        <v>1431.16130452213</v>
      </c>
      <c r="M25" s="30" t="n">
        <f aca="false">SUM(M16:M24)</f>
        <v>1681.17299133418</v>
      </c>
      <c r="N25" s="30" t="n">
        <f aca="false">SUM(N16:N24)</f>
        <v>1978.1322350499</v>
      </c>
    </row>
    <row r="27" customFormat="false" ht="15" hidden="false" customHeight="true" outlineLevel="0" collapsed="false">
      <c r="B27" s="26" t="s">
        <v>169</v>
      </c>
      <c r="D27" s="30" t="n">
        <f aca="false">SUM(D9:D13)+D25</f>
        <v>52185</v>
      </c>
      <c r="E27" s="30" t="n">
        <f aca="false">SUM(E9:E13)+E25</f>
        <v>60675</v>
      </c>
      <c r="F27" s="30" t="n">
        <f aca="false">SUM(F9:F13)+F25</f>
        <v>76740</v>
      </c>
      <c r="G27" s="30" t="n">
        <f aca="false">SUM(G9:G13)+G25</f>
        <v>89035</v>
      </c>
      <c r="H27" s="30" t="n">
        <f aca="false">SUM(H9:H13)+H25</f>
        <v>87582</v>
      </c>
      <c r="I27" s="30" t="n">
        <f aca="false">SUM(I9:I13)+I25</f>
        <v>118548</v>
      </c>
      <c r="J27" s="30" t="n">
        <f aca="false">SUM(J9:J13)+J25</f>
        <v>139528.104658267</v>
      </c>
      <c r="K27" s="30" t="n">
        <f aca="false">SUM(K9:K13)+K25</f>
        <v>159987.863548111</v>
      </c>
      <c r="L27" s="30" t="n">
        <f aca="false">SUM(L9:L13)+L25</f>
        <v>183981.870640075</v>
      </c>
      <c r="M27" s="30" t="n">
        <f aca="false">SUM(M9:M13)+M25</f>
        <v>212169.941825681</v>
      </c>
      <c r="N27" s="30" t="n">
        <f aca="false">SUM(N9:N13)+N25</f>
        <v>245339.886993021</v>
      </c>
    </row>
    <row r="29" customFormat="false" ht="15" hidden="false" customHeight="true" outlineLevel="0" collapsed="false">
      <c r="B29" s="26" t="s">
        <v>170</v>
      </c>
    </row>
    <row r="30" customFormat="false" ht="15" hidden="false" customHeight="true" outlineLevel="0" collapsed="false">
      <c r="B30" s="18" t="s">
        <v>171</v>
      </c>
      <c r="D30" s="27" t="n">
        <v>-13925</v>
      </c>
      <c r="E30" s="27" t="n">
        <v>-15441</v>
      </c>
      <c r="F30" s="27" t="n">
        <v>-20622</v>
      </c>
      <c r="G30" s="27" t="n">
        <v>-23886</v>
      </c>
      <c r="H30" s="27" t="n">
        <v>-28107</v>
      </c>
      <c r="I30" s="27" t="n">
        <v>-44477</v>
      </c>
      <c r="J30" s="17" t="n">
        <f aca="false">-'PP&amp;E Schedule'!J8</f>
        <v>-50768.3925110241</v>
      </c>
      <c r="K30" s="17" t="n">
        <f aca="false">-'PP&amp;E Schedule'!K8</f>
        <v>-58132.1646081563</v>
      </c>
      <c r="L30" s="17" t="n">
        <f aca="false">-'PP&amp;E Schedule'!L8</f>
        <v>-66767.1476986875</v>
      </c>
      <c r="M30" s="17" t="n">
        <f aca="false">-'PP&amp;E Schedule'!M8</f>
        <v>-76910.5887675301</v>
      </c>
      <c r="N30" s="17" t="n">
        <f aca="false">-'PP&amp;E Schedule'!N8</f>
        <v>-88845.7482401331</v>
      </c>
    </row>
    <row r="31" customFormat="false" ht="15" hidden="false" customHeight="true" outlineLevel="0" collapsed="false">
      <c r="B31" s="18" t="s">
        <v>172</v>
      </c>
      <c r="D31" s="27" t="n">
        <v>-2388</v>
      </c>
      <c r="E31" s="27" t="n">
        <v>-2521</v>
      </c>
      <c r="F31" s="27" t="n">
        <v>-8909</v>
      </c>
      <c r="G31" s="27" t="n">
        <v>-22038</v>
      </c>
      <c r="H31" s="27" t="n">
        <v>-1670</v>
      </c>
      <c r="I31" s="27" t="n">
        <v>-69132</v>
      </c>
      <c r="J31" s="27" t="n">
        <v>0</v>
      </c>
      <c r="K31" s="27" t="n">
        <v>0</v>
      </c>
      <c r="L31" s="27" t="n">
        <v>0</v>
      </c>
      <c r="M31" s="27" t="n">
        <v>0</v>
      </c>
      <c r="N31" s="27" t="n">
        <v>0</v>
      </c>
      <c r="Q31" s="29" t="s">
        <v>173</v>
      </c>
    </row>
    <row r="32" customFormat="false" ht="15" hidden="false" customHeight="true" outlineLevel="0" collapsed="false">
      <c r="B32" s="18" t="s">
        <v>174</v>
      </c>
      <c r="D32" s="27" t="n">
        <v>-57697</v>
      </c>
      <c r="E32" s="27" t="n">
        <v>-77190</v>
      </c>
      <c r="F32" s="27" t="n">
        <v>-62924</v>
      </c>
      <c r="G32" s="27" t="n">
        <v>-26456</v>
      </c>
      <c r="H32" s="27" t="n">
        <v>-37651</v>
      </c>
      <c r="I32" s="27" t="n">
        <v>-17732</v>
      </c>
    </row>
    <row r="33" customFormat="false" ht="15" hidden="false" customHeight="true" outlineLevel="0" collapsed="false">
      <c r="B33" s="18" t="s">
        <v>175</v>
      </c>
      <c r="D33" s="27" t="n">
        <v>20043</v>
      </c>
      <c r="E33" s="27" t="n">
        <v>66449</v>
      </c>
      <c r="F33" s="27" t="n">
        <v>51792</v>
      </c>
      <c r="G33" s="27" t="n">
        <v>16451</v>
      </c>
      <c r="H33" s="27" t="n">
        <v>33510</v>
      </c>
      <c r="I33" s="27" t="n">
        <v>24775</v>
      </c>
    </row>
    <row r="34" customFormat="false" ht="15" hidden="false" customHeight="true" outlineLevel="0" collapsed="false">
      <c r="B34" s="18" t="s">
        <v>176</v>
      </c>
      <c r="D34" s="27" t="n">
        <v>38194</v>
      </c>
      <c r="E34" s="27" t="n">
        <v>17721</v>
      </c>
      <c r="F34" s="27" t="n">
        <v>14008</v>
      </c>
      <c r="G34" s="27" t="n">
        <v>28443</v>
      </c>
      <c r="H34" s="27" t="n">
        <v>14354</v>
      </c>
      <c r="I34" s="27" t="n">
        <v>10894</v>
      </c>
    </row>
    <row r="35" customFormat="false" ht="15" hidden="false" customHeight="true" outlineLevel="0" collapsed="false">
      <c r="B35" s="18" t="s">
        <v>177</v>
      </c>
      <c r="J35" s="17" t="n">
        <f aca="false">-('Balance Sheet'!J11-'Balance Sheet'!I11)</f>
        <v>-8095.05611036914</v>
      </c>
      <c r="K35" s="17" t="n">
        <f aca="false">-('Balance Sheet'!K11-'Balance Sheet'!J11)</f>
        <v>-9474.87352057652</v>
      </c>
      <c r="L35" s="17" t="n">
        <f aca="false">-('Balance Sheet'!L11-'Balance Sheet'!K11)</f>
        <v>-11110.5248174319</v>
      </c>
      <c r="M35" s="17" t="n">
        <f aca="false">-('Balance Sheet'!M11-'Balance Sheet'!L11)</f>
        <v>-13051.4388445202</v>
      </c>
      <c r="N35" s="17" t="n">
        <f aca="false">-('Balance Sheet'!N11-'Balance Sheet'!M11)</f>
        <v>-15356.8205206764</v>
      </c>
    </row>
    <row r="36" customFormat="false" ht="15" hidden="false" customHeight="true" outlineLevel="0" collapsed="false">
      <c r="B36" s="18" t="s">
        <v>178</v>
      </c>
      <c r="D36" s="27" t="n">
        <v>0</v>
      </c>
      <c r="E36" s="27" t="n">
        <v>-1241</v>
      </c>
      <c r="F36" s="27" t="n">
        <v>-922</v>
      </c>
      <c r="G36" s="27" t="n">
        <v>-2825</v>
      </c>
      <c r="H36" s="27" t="n">
        <v>-3116</v>
      </c>
      <c r="I36" s="27" t="n">
        <v>-1298</v>
      </c>
      <c r="J36" s="27" t="n">
        <v>0</v>
      </c>
      <c r="K36" s="27" t="n">
        <v>0</v>
      </c>
      <c r="L36" s="27" t="n">
        <v>0</v>
      </c>
      <c r="M36" s="27" t="n">
        <v>0</v>
      </c>
      <c r="N36" s="27" t="n">
        <v>0</v>
      </c>
    </row>
    <row r="37" customFormat="false" ht="15" hidden="false" customHeight="true" outlineLevel="0" collapsed="false">
      <c r="B37" s="26" t="s">
        <v>179</v>
      </c>
      <c r="D37" s="30" t="n">
        <f aca="false">SUM(D30:D36)</f>
        <v>-15773</v>
      </c>
      <c r="E37" s="30" t="n">
        <f aca="false">SUM(E30:E36)</f>
        <v>-12223</v>
      </c>
      <c r="F37" s="30" t="n">
        <f aca="false">SUM(F30:F36)</f>
        <v>-27577</v>
      </c>
      <c r="G37" s="30" t="n">
        <f aca="false">SUM(G30:G36)</f>
        <v>-30311</v>
      </c>
      <c r="H37" s="30" t="n">
        <f aca="false">SUM(H30:H36)</f>
        <v>-22680</v>
      </c>
      <c r="I37" s="30" t="n">
        <f aca="false">SUM(I30:I36)</f>
        <v>-96970</v>
      </c>
      <c r="J37" s="30" t="n">
        <f aca="false">SUM(J30:J36)</f>
        <v>-58863.4486213933</v>
      </c>
      <c r="K37" s="30" t="n">
        <f aca="false">SUM(K30:K36)</f>
        <v>-67607.0381287329</v>
      </c>
      <c r="L37" s="30" t="n">
        <f aca="false">SUM(L30:L36)</f>
        <v>-77877.6725161194</v>
      </c>
      <c r="M37" s="30" t="n">
        <f aca="false">SUM(M30:M36)</f>
        <v>-89962.0276120504</v>
      </c>
      <c r="N37" s="30" t="n">
        <f aca="false">SUM(N30:N36)</f>
        <v>-104202.56876081</v>
      </c>
    </row>
    <row r="39" customFormat="false" ht="15" hidden="false" customHeight="true" outlineLevel="0" collapsed="false">
      <c r="B39" s="26" t="s">
        <v>180</v>
      </c>
    </row>
    <row r="40" customFormat="false" ht="15" hidden="false" customHeight="true" outlineLevel="0" collapsed="false">
      <c r="B40" s="18" t="s">
        <v>181</v>
      </c>
      <c r="D40" s="27" t="n">
        <v>-4000</v>
      </c>
      <c r="E40" s="27" t="n">
        <v>-8935</v>
      </c>
      <c r="F40" s="27" t="n">
        <v>-5504</v>
      </c>
      <c r="G40" s="27" t="n">
        <v>-9023</v>
      </c>
      <c r="H40" s="27" t="n">
        <v>-2750</v>
      </c>
      <c r="I40" s="27" t="n">
        <v>575</v>
      </c>
      <c r="J40" s="17" t="n">
        <f aca="false">(('Balance Sheet'!J30-'Balance Sheet'!I30)+('Balance Sheet'!J31-'Balance Sheet'!I31)+('Balance Sheet'!J39-'Balance Sheet'!I39))</f>
        <v>0</v>
      </c>
      <c r="K40" s="17" t="n">
        <f aca="false">(('Balance Sheet'!K30-'Balance Sheet'!J30)+('Balance Sheet'!K31-'Balance Sheet'!J31)+('Balance Sheet'!K39-'Balance Sheet'!J39))</f>
        <v>0</v>
      </c>
      <c r="L40" s="17" t="n">
        <f aca="false">(('Balance Sheet'!L30-'Balance Sheet'!K30)+('Balance Sheet'!L31-'Balance Sheet'!K31)+('Balance Sheet'!L39-'Balance Sheet'!K39))</f>
        <v>0</v>
      </c>
      <c r="M40" s="17" t="n">
        <f aca="false">(('Balance Sheet'!M30-'Balance Sheet'!L30)+('Balance Sheet'!M31-'Balance Sheet'!L31)+('Balance Sheet'!M39-'Balance Sheet'!L39))</f>
        <v>0</v>
      </c>
      <c r="N40" s="17" t="n">
        <f aca="false">(('Balance Sheet'!N30-'Balance Sheet'!M30)+('Balance Sheet'!N31-'Balance Sheet'!M31)+('Balance Sheet'!N39-'Balance Sheet'!M39))</f>
        <v>0</v>
      </c>
      <c r="Q40" s="29" t="s">
        <v>182</v>
      </c>
    </row>
    <row r="41" customFormat="false" ht="15" hidden="false" customHeight="true" outlineLevel="0" collapsed="false">
      <c r="B41" s="18" t="s">
        <v>183</v>
      </c>
      <c r="D41" s="27" t="n">
        <v>1142</v>
      </c>
      <c r="E41" s="27" t="n">
        <v>1343</v>
      </c>
      <c r="F41" s="27" t="n">
        <v>1693</v>
      </c>
      <c r="G41" s="27" t="n">
        <v>1841</v>
      </c>
      <c r="H41" s="27" t="n">
        <v>1866</v>
      </c>
      <c r="I41" s="27" t="n">
        <v>2002</v>
      </c>
      <c r="J41" s="17" t="n">
        <f aca="false">'Income Statement'!J11*'Scenario Analysis'!$G$20</f>
        <v>2285.18834019989</v>
      </c>
      <c r="K41" s="17" t="n">
        <f aca="false">'Income Statement'!K11*'Scenario Analysis'!$G$20</f>
        <v>2616.64666109515</v>
      </c>
      <c r="L41" s="17" t="n">
        <f aca="false">'Income Statement'!L11*'Scenario Analysis'!$G$20</f>
        <v>3005.32476769504</v>
      </c>
      <c r="M41" s="17" t="n">
        <f aca="false">'Income Statement'!M11*'Scenario Analysis'!$G$20</f>
        <v>3461.90162809082</v>
      </c>
      <c r="N41" s="17" t="n">
        <f aca="false">'Income Statement'!N11*'Scenario Analysis'!$G$20</f>
        <v>3999.12736867924</v>
      </c>
    </row>
    <row r="42" customFormat="false" ht="15" hidden="false" customHeight="true" outlineLevel="0" collapsed="false">
      <c r="B42" s="18" t="s">
        <v>184</v>
      </c>
      <c r="D42" s="27" t="n">
        <v>-19543</v>
      </c>
      <c r="E42" s="27" t="n">
        <v>-22968</v>
      </c>
      <c r="F42" s="27" t="n">
        <v>-27385</v>
      </c>
      <c r="G42" s="27" t="n">
        <v>-32696</v>
      </c>
      <c r="H42" s="27" t="n">
        <v>-22245</v>
      </c>
      <c r="I42" s="27" t="n">
        <v>-17254</v>
      </c>
      <c r="J42" s="17" t="n">
        <f aca="false">-'Income Statement'!J37*'Scenario Analysis'!$G$19</f>
        <v>-19731.8956270121</v>
      </c>
      <c r="K42" s="17" t="n">
        <f aca="false">-'Income Statement'!K37*'Scenario Analysis'!$G$19</f>
        <v>-22632.1531845917</v>
      </c>
      <c r="L42" s="17" t="n">
        <f aca="false">-'Income Statement'!L37*'Scenario Analysis'!$G$19</f>
        <v>-26033.0833923094</v>
      </c>
      <c r="M42" s="17" t="n">
        <f aca="false">-'Income Statement'!M37*'Scenario Analysis'!$G$19</f>
        <v>-30028.1271323555</v>
      </c>
      <c r="N42" s="17" t="n">
        <f aca="false">-'Income Statement'!N37*'Scenario Analysis'!$G$19</f>
        <v>-34728.8479049085</v>
      </c>
    </row>
    <row r="43" customFormat="false" ht="15" hidden="false" customHeight="true" outlineLevel="0" collapsed="false">
      <c r="B43" s="18" t="s">
        <v>185</v>
      </c>
      <c r="D43" s="27" t="n">
        <v>-13811</v>
      </c>
      <c r="E43" s="27" t="n">
        <v>-15137</v>
      </c>
      <c r="F43" s="27" t="n">
        <v>-16521</v>
      </c>
      <c r="G43" s="27" t="n">
        <v>-18135</v>
      </c>
      <c r="H43" s="27" t="n">
        <v>-19800</v>
      </c>
      <c r="I43" s="27" t="n">
        <v>-21771</v>
      </c>
      <c r="J43" s="17" t="n">
        <f aca="false">-'Income Statement'!J37*'Scenario Analysis'!$G$18</f>
        <v>-24897.5947429976</v>
      </c>
      <c r="K43" s="17" t="n">
        <f aca="false">-'Income Statement'!K37*'Scenario Analysis'!$G$18</f>
        <v>-28557.1233906194</v>
      </c>
      <c r="L43" s="17" t="n">
        <f aca="false">-'Income Statement'!L37*'Scenario Analysis'!$G$18</f>
        <v>-32848.3979676578</v>
      </c>
      <c r="M43" s="17" t="n">
        <f aca="false">-'Income Statement'!M37*'Scenario Analysis'!$G$18</f>
        <v>-37889.3216528638</v>
      </c>
      <c r="N43" s="17" t="n">
        <f aca="false">-'Income Statement'!N37*'Scenario Analysis'!$G$18</f>
        <v>-43820.6646422721</v>
      </c>
    </row>
    <row r="44" customFormat="false" ht="15" hidden="false" customHeight="true" outlineLevel="0" collapsed="false">
      <c r="B44" s="18" t="s">
        <v>186</v>
      </c>
      <c r="D44" s="27" t="n">
        <v>-675</v>
      </c>
      <c r="E44" s="27" t="n">
        <v>-334</v>
      </c>
      <c r="F44" s="27" t="n">
        <v>-769</v>
      </c>
      <c r="G44" s="27" t="n">
        <v>-863</v>
      </c>
      <c r="H44" s="27" t="n">
        <v>-1006</v>
      </c>
      <c r="I44" s="27" t="n">
        <v>-1309</v>
      </c>
      <c r="J44" s="27" t="n">
        <v>0</v>
      </c>
      <c r="K44" s="27" t="n">
        <v>0</v>
      </c>
      <c r="L44" s="27" t="n">
        <v>0</v>
      </c>
      <c r="M44" s="27" t="n">
        <v>0</v>
      </c>
      <c r="N44" s="27" t="n">
        <v>0</v>
      </c>
    </row>
    <row r="45" customFormat="false" ht="15" hidden="false" customHeight="true" outlineLevel="0" collapsed="false">
      <c r="B45" s="26" t="s">
        <v>187</v>
      </c>
      <c r="D45" s="30" t="n">
        <f aca="false">SUM(D40:D44)</f>
        <v>-36887</v>
      </c>
      <c r="E45" s="30" t="n">
        <f aca="false">SUM(E40:E44)</f>
        <v>-46031</v>
      </c>
      <c r="F45" s="30" t="n">
        <f aca="false">SUM(F40:F44)</f>
        <v>-48486</v>
      </c>
      <c r="G45" s="30" t="n">
        <f aca="false">SUM(G40:G44)</f>
        <v>-58876</v>
      </c>
      <c r="H45" s="30" t="n">
        <f aca="false">SUM(H40:H44)</f>
        <v>-43935</v>
      </c>
      <c r="I45" s="30" t="n">
        <f aca="false">SUM(I40:I44)</f>
        <v>-37757</v>
      </c>
      <c r="J45" s="30" t="n">
        <f aca="false">SUM(J40:J44)</f>
        <v>-42344.3020298098</v>
      </c>
      <c r="K45" s="30" t="n">
        <f aca="false">SUM(K40:K44)</f>
        <v>-48572.629914116</v>
      </c>
      <c r="L45" s="30" t="n">
        <f aca="false">SUM(L40:L44)</f>
        <v>-55876.1565922722</v>
      </c>
      <c r="M45" s="30" t="n">
        <f aca="false">SUM(M40:M44)</f>
        <v>-64455.5471571286</v>
      </c>
      <c r="N45" s="30" t="n">
        <f aca="false">SUM(N40:N44)</f>
        <v>-74550.3851785013</v>
      </c>
    </row>
    <row r="47" customFormat="false" ht="15" hidden="false" customHeight="true" outlineLevel="0" collapsed="false">
      <c r="B47" s="18" t="s">
        <v>188</v>
      </c>
      <c r="D47" s="27" t="n">
        <v>-115</v>
      </c>
      <c r="E47" s="27" t="n">
        <v>-201</v>
      </c>
      <c r="F47" s="27" t="n">
        <v>-29</v>
      </c>
      <c r="G47" s="27" t="n">
        <v>-141</v>
      </c>
      <c r="H47" s="27" t="n">
        <v>-194</v>
      </c>
      <c r="I47" s="27" t="n">
        <v>-210</v>
      </c>
      <c r="J47" s="27" t="n">
        <v>0</v>
      </c>
      <c r="K47" s="27" t="n">
        <v>0</v>
      </c>
      <c r="L47" s="27" t="n">
        <v>0</v>
      </c>
      <c r="M47" s="27" t="n">
        <v>0</v>
      </c>
      <c r="N47" s="27" t="n">
        <v>0</v>
      </c>
    </row>
    <row r="48" customFormat="false" ht="15" hidden="false" customHeight="true" outlineLevel="0" collapsed="false">
      <c r="B48" s="26" t="s">
        <v>189</v>
      </c>
      <c r="D48" s="30" t="n">
        <f aca="false">D27+D37+D45+D47</f>
        <v>-590</v>
      </c>
      <c r="E48" s="30" t="n">
        <f aca="false">E27+E37+E45+E47</f>
        <v>2220</v>
      </c>
      <c r="F48" s="30" t="n">
        <f aca="false">F27+F37+F45+F47</f>
        <v>648</v>
      </c>
      <c r="G48" s="30" t="n">
        <f aca="false">G27+G37+G45+G47</f>
        <v>-293</v>
      </c>
      <c r="H48" s="30" t="n">
        <f aca="false">H27+H37+H45+H47</f>
        <v>20773</v>
      </c>
      <c r="I48" s="30" t="n">
        <f aca="false">I27+I37+I45+I47</f>
        <v>-16389</v>
      </c>
      <c r="J48" s="30" t="n">
        <f aca="false">J27+J37+J45+J47</f>
        <v>38320.3540070642</v>
      </c>
      <c r="K48" s="30" t="n">
        <f aca="false">K27+K37+K45+K47</f>
        <v>43808.1955052623</v>
      </c>
      <c r="L48" s="30" t="n">
        <f aca="false">L27+L37+L45+L47</f>
        <v>50228.0415316834</v>
      </c>
      <c r="M48" s="30" t="n">
        <f aca="false">M27+M37+M45+M47</f>
        <v>57752.3670565019</v>
      </c>
      <c r="N48" s="30" t="n">
        <f aca="false">N27+N37+N45+N47</f>
        <v>66586.9330537099</v>
      </c>
    </row>
    <row r="49" customFormat="false" ht="15" hidden="false" customHeight="true" outlineLevel="0" collapsed="false">
      <c r="B49" s="18" t="s">
        <v>190</v>
      </c>
      <c r="D49" s="27" t="n">
        <v>11946</v>
      </c>
      <c r="E49" s="27" t="n">
        <v>11356</v>
      </c>
      <c r="F49" s="27" t="n">
        <v>13576</v>
      </c>
      <c r="G49" s="27" t="n">
        <v>14224</v>
      </c>
      <c r="H49" s="27" t="n">
        <v>13931</v>
      </c>
      <c r="I49" s="27" t="n">
        <v>34704</v>
      </c>
      <c r="J49" s="17" t="n">
        <f aca="false">I50</f>
        <v>18315</v>
      </c>
      <c r="K49" s="17" t="n">
        <f aca="false">J50</f>
        <v>56635.3540070642</v>
      </c>
      <c r="L49" s="17" t="n">
        <f aca="false">K50</f>
        <v>100443.549512326</v>
      </c>
      <c r="M49" s="17" t="n">
        <f aca="false">L50</f>
        <v>150671.59104401</v>
      </c>
      <c r="N49" s="17" t="n">
        <f aca="false">M50</f>
        <v>208423.958100512</v>
      </c>
    </row>
    <row r="50" customFormat="false" ht="15" hidden="false" customHeight="true" outlineLevel="0" collapsed="false">
      <c r="B50" s="26" t="s">
        <v>191</v>
      </c>
      <c r="D50" s="40" t="n">
        <f aca="false">D49+D48</f>
        <v>11356</v>
      </c>
      <c r="E50" s="40" t="n">
        <f aca="false">E49+E48</f>
        <v>13576</v>
      </c>
      <c r="F50" s="40" t="n">
        <f aca="false">F49+F48</f>
        <v>14224</v>
      </c>
      <c r="G50" s="40" t="n">
        <f aca="false">G49+G48</f>
        <v>13931</v>
      </c>
      <c r="H50" s="40" t="n">
        <f aca="false">H49+H48</f>
        <v>34704</v>
      </c>
      <c r="I50" s="40" t="n">
        <f aca="false">I49+I48</f>
        <v>18315</v>
      </c>
      <c r="J50" s="40" t="n">
        <f aca="false">J49+J48</f>
        <v>56635.3540070642</v>
      </c>
      <c r="K50" s="40" t="n">
        <f aca="false">K49+K48</f>
        <v>100443.549512326</v>
      </c>
      <c r="L50" s="40" t="n">
        <f aca="false">L49+L48</f>
        <v>150671.59104401</v>
      </c>
      <c r="M50" s="40" t="n">
        <f aca="false">M49+M48</f>
        <v>208423.958100512</v>
      </c>
      <c r="N50" s="40" t="n">
        <f aca="false">N49+N48</f>
        <v>275010.891154222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6"/>
    <col collapsed="false" customWidth="true" hidden="false" outlineLevel="0" max="3" min="3" style="1" width="2"/>
    <col collapsed="false" customWidth="true" hidden="false" outlineLevel="0" max="14" min="4" style="1" width="12"/>
    <col collapsed="false" customWidth="true" hidden="false" outlineLevel="0" max="16" min="16" style="1" width="3"/>
    <col collapsed="false" customWidth="true" hidden="false" outlineLevel="0" max="17" min="17" style="1" width="70"/>
  </cols>
  <sheetData>
    <row r="1" customFormat="false" ht="17.25" hidden="false" customHeight="true" outlineLevel="0" collapsed="false">
      <c r="A1" s="25" t="s">
        <v>0</v>
      </c>
    </row>
    <row r="2" customFormat="false" ht="15" hidden="false" customHeight="true" outlineLevel="0" collapsed="false">
      <c r="A2" s="11" t="s">
        <v>192</v>
      </c>
    </row>
    <row r="3" customFormat="false" ht="15" hidden="false" customHeight="true" outlineLevel="0" collapsed="false">
      <c r="A3" s="12" t="s">
        <v>53</v>
      </c>
    </row>
    <row r="4" customFormat="false" ht="15" hidden="false" customHeight="true" outlineLevel="0" collapsed="false">
      <c r="D4" s="13" t="s">
        <v>32</v>
      </c>
      <c r="E4" s="13" t="s">
        <v>32</v>
      </c>
      <c r="F4" s="13" t="s">
        <v>32</v>
      </c>
      <c r="G4" s="13" t="s">
        <v>32</v>
      </c>
      <c r="H4" s="13" t="s">
        <v>32</v>
      </c>
      <c r="I4" s="13" t="s">
        <v>32</v>
      </c>
      <c r="J4" s="14" t="s">
        <v>33</v>
      </c>
      <c r="K4" s="14" t="s">
        <v>33</v>
      </c>
      <c r="L4" s="14" t="s">
        <v>33</v>
      </c>
      <c r="M4" s="14" t="s">
        <v>33</v>
      </c>
      <c r="N4" s="14" t="s">
        <v>33</v>
      </c>
    </row>
    <row r="5" customFormat="false" ht="15" hidden="false" customHeight="true" outlineLevel="0" collapsed="false">
      <c r="D5" s="15" t="n">
        <v>2019</v>
      </c>
      <c r="E5" s="15" t="n">
        <v>2020</v>
      </c>
      <c r="F5" s="15" t="n">
        <v>2021</v>
      </c>
      <c r="G5" s="15" t="n">
        <v>2022</v>
      </c>
      <c r="H5" s="15" t="n">
        <v>2023</v>
      </c>
      <c r="I5" s="15" t="n">
        <v>2024</v>
      </c>
      <c r="J5" s="15" t="n">
        <v>2025</v>
      </c>
      <c r="K5" s="15" t="n">
        <v>2026</v>
      </c>
      <c r="L5" s="15" t="n">
        <v>2027</v>
      </c>
      <c r="M5" s="15" t="n">
        <v>2028</v>
      </c>
      <c r="N5" s="15" t="n">
        <v>2029</v>
      </c>
    </row>
    <row r="7" customFormat="false" ht="15" hidden="false" customHeight="true" outlineLevel="0" collapsed="false">
      <c r="B7" s="18" t="s">
        <v>193</v>
      </c>
      <c r="D7" s="27" t="n">
        <v>29460</v>
      </c>
      <c r="E7" s="28" t="n">
        <f aca="false">D12</f>
        <v>36477</v>
      </c>
      <c r="F7" s="28" t="n">
        <f aca="false">E12</f>
        <v>44151</v>
      </c>
      <c r="G7" s="28" t="n">
        <f aca="false">F12</f>
        <v>59715</v>
      </c>
      <c r="H7" s="28" t="n">
        <f aca="false">G12</f>
        <v>74398</v>
      </c>
      <c r="I7" s="28" t="n">
        <f aca="false">H12</f>
        <v>95641</v>
      </c>
      <c r="J7" s="28" t="n">
        <f aca="false">I12</f>
        <v>135591</v>
      </c>
      <c r="K7" s="28" t="n">
        <f aca="false">J12</f>
        <v>160919.835798719</v>
      </c>
      <c r="L7" s="28" t="n">
        <f aca="false">K12</f>
        <v>189922.527811557</v>
      </c>
      <c r="M7" s="28" t="n">
        <f aca="false">L12</f>
        <v>223233.295341603</v>
      </c>
      <c r="N7" s="28" t="n">
        <f aca="false">M12</f>
        <v>261604.722478134</v>
      </c>
      <c r="Q7" s="29" t="s">
        <v>194</v>
      </c>
    </row>
    <row r="8" customFormat="false" ht="15" hidden="false" customHeight="true" outlineLevel="0" collapsed="false">
      <c r="B8" s="18" t="s">
        <v>195</v>
      </c>
      <c r="D8" s="27" t="n">
        <v>13925</v>
      </c>
      <c r="E8" s="27" t="n">
        <v>15441</v>
      </c>
      <c r="F8" s="27" t="n">
        <v>20622</v>
      </c>
      <c r="G8" s="27" t="n">
        <v>23886</v>
      </c>
      <c r="H8" s="27" t="n">
        <v>28107</v>
      </c>
      <c r="I8" s="27" t="n">
        <v>44477</v>
      </c>
      <c r="J8" s="17" t="n">
        <f aca="false">'Income Statement'!J11*'Scenario Analysis'!$G$15</f>
        <v>50768.3925110241</v>
      </c>
      <c r="K8" s="17" t="n">
        <f aca="false">'Income Statement'!K11*'Scenario Analysis'!$G$15</f>
        <v>58132.1646081563</v>
      </c>
      <c r="L8" s="17" t="n">
        <f aca="false">'Income Statement'!L11*'Scenario Analysis'!$G$15</f>
        <v>66767.1476986875</v>
      </c>
      <c r="M8" s="17" t="n">
        <f aca="false">'Income Statement'!M11*'Scenario Analysis'!$G$15</f>
        <v>76910.5887675301</v>
      </c>
      <c r="N8" s="17" t="n">
        <f aca="false">'Income Statement'!N11*'Scenario Analysis'!$G$15</f>
        <v>88845.7482401331</v>
      </c>
    </row>
    <row r="9" customFormat="false" ht="15" hidden="false" customHeight="true" outlineLevel="0" collapsed="false">
      <c r="B9" s="18" t="s">
        <v>196</v>
      </c>
      <c r="D9" s="27" t="n">
        <v>11682</v>
      </c>
      <c r="E9" s="27" t="n">
        <v>12796</v>
      </c>
      <c r="F9" s="27" t="n">
        <v>11686</v>
      </c>
      <c r="G9" s="27" t="n">
        <v>14460</v>
      </c>
      <c r="H9" s="27" t="n">
        <v>13861</v>
      </c>
      <c r="I9" s="27" t="n">
        <v>22287</v>
      </c>
      <c r="J9" s="17" t="n">
        <f aca="false">'Income Statement'!J11*'Scenario Analysis'!$G$16</f>
        <v>25439.5567123051</v>
      </c>
      <c r="K9" s="17" t="n">
        <f aca="false">'Income Statement'!K11*'Scenario Analysis'!$G$16</f>
        <v>29129.4725953185</v>
      </c>
      <c r="L9" s="17" t="n">
        <f aca="false">'Income Statement'!L11*'Scenario Analysis'!$G$16</f>
        <v>33456.3801686411</v>
      </c>
      <c r="M9" s="17" t="n">
        <f aca="false">'Income Statement'!M11*'Scenario Analysis'!$G$16</f>
        <v>38539.161630999</v>
      </c>
      <c r="N9" s="17" t="n">
        <f aca="false">'Income Statement'!N11*'Scenario Analysis'!$G$16</f>
        <v>44519.7560768003</v>
      </c>
    </row>
    <row r="10" customFormat="false" ht="15" hidden="false" customHeight="true" outlineLevel="0" collapsed="false">
      <c r="B10" s="16" t="s">
        <v>197</v>
      </c>
      <c r="D10" s="30" t="n">
        <f aca="false">D7+D8-D9</f>
        <v>31703</v>
      </c>
      <c r="E10" s="30" t="n">
        <f aca="false">E7+E8-E9</f>
        <v>39122</v>
      </c>
      <c r="F10" s="30" t="n">
        <f aca="false">F7+F8-F9</f>
        <v>53087</v>
      </c>
      <c r="G10" s="30" t="n">
        <f aca="false">G7+G8-G9</f>
        <v>69141</v>
      </c>
      <c r="H10" s="30" t="n">
        <f aca="false">H7+H8-H9</f>
        <v>88644</v>
      </c>
      <c r="I10" s="30" t="n">
        <f aca="false">I7+I8-I9</f>
        <v>117831</v>
      </c>
      <c r="J10" s="30" t="n">
        <f aca="false">J7+J8-J9</f>
        <v>160919.835798719</v>
      </c>
      <c r="K10" s="30" t="n">
        <f aca="false">K7+K8-K9</f>
        <v>189922.527811557</v>
      </c>
      <c r="L10" s="30" t="n">
        <f aca="false">L7+L8-L9</f>
        <v>223233.295341603</v>
      </c>
      <c r="M10" s="30" t="n">
        <f aca="false">M7+M8-M9</f>
        <v>261604.722478134</v>
      </c>
      <c r="N10" s="30" t="n">
        <f aca="false">N7+N8-N9</f>
        <v>305930.714641467</v>
      </c>
    </row>
    <row r="12" customFormat="false" ht="15" hidden="false" customHeight="true" outlineLevel="0" collapsed="false">
      <c r="B12" s="18" t="s">
        <v>198</v>
      </c>
      <c r="D12" s="17" t="n">
        <f aca="false">'Balance Sheet'!D18</f>
        <v>36477</v>
      </c>
      <c r="E12" s="17" t="n">
        <f aca="false">'Balance Sheet'!E18</f>
        <v>44151</v>
      </c>
      <c r="F12" s="17" t="n">
        <f aca="false">'Balance Sheet'!F18</f>
        <v>59715</v>
      </c>
      <c r="G12" s="17" t="n">
        <f aca="false">'Balance Sheet'!G18</f>
        <v>74398</v>
      </c>
      <c r="H12" s="17" t="n">
        <f aca="false">'Balance Sheet'!H18</f>
        <v>95641</v>
      </c>
      <c r="I12" s="17" t="n">
        <f aca="false">'Balance Sheet'!I18</f>
        <v>135591</v>
      </c>
      <c r="J12" s="28" t="n">
        <f aca="false">J10</f>
        <v>160919.835798719</v>
      </c>
      <c r="K12" s="28" t="n">
        <f aca="false">K10</f>
        <v>189922.527811557</v>
      </c>
      <c r="L12" s="28" t="n">
        <f aca="false">L10</f>
        <v>223233.295341603</v>
      </c>
      <c r="M12" s="28" t="n">
        <f aca="false">M10</f>
        <v>261604.722478134</v>
      </c>
      <c r="N12" s="28" t="n">
        <f aca="false">N10</f>
        <v>305930.714641467</v>
      </c>
    </row>
    <row r="13" customFormat="false" ht="15" hidden="false" customHeight="true" outlineLevel="0" collapsed="false">
      <c r="B13" s="18" t="s">
        <v>199</v>
      </c>
      <c r="D13" s="43" t="n">
        <f aca="false">D12-D10</f>
        <v>4774</v>
      </c>
      <c r="E13" s="43" t="n">
        <f aca="false">E12-E10</f>
        <v>5029</v>
      </c>
      <c r="F13" s="43" t="n">
        <f aca="false">F12-F10</f>
        <v>6628</v>
      </c>
      <c r="G13" s="43" t="n">
        <f aca="false">G12-G10</f>
        <v>5257</v>
      </c>
      <c r="H13" s="43" t="n">
        <f aca="false">H12-H10</f>
        <v>6997</v>
      </c>
      <c r="I13" s="43" t="n">
        <f aca="false">I12-I10</f>
        <v>17760</v>
      </c>
      <c r="Q13" s="29" t="s">
        <v>200</v>
      </c>
    </row>
    <row r="14" customFormat="false" ht="15" hidden="false" customHeight="true" outlineLevel="0" collapsed="false">
      <c r="B14" s="31" t="s">
        <v>201</v>
      </c>
      <c r="Q14" s="29" t="s">
        <v>202</v>
      </c>
    </row>
    <row r="15" customFormat="false" ht="15" hidden="false" customHeight="true" outlineLevel="0" collapsed="false">
      <c r="Q15" s="29" t="s">
        <v>203</v>
      </c>
    </row>
    <row r="16" customFormat="false" ht="15" hidden="false" customHeight="true" outlineLevel="0" collapsed="false">
      <c r="Q16" s="29" t="s">
        <v>204</v>
      </c>
    </row>
    <row r="17" customFormat="false" ht="15" hidden="false" customHeight="true" outlineLevel="0" collapsed="false">
      <c r="Q17" s="29" t="s">
        <v>205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0"/>
    <col collapsed="false" customWidth="true" hidden="false" outlineLevel="0" max="3" min="3" style="1" width="2"/>
    <col collapsed="false" customWidth="true" hidden="false" outlineLevel="0" max="6" min="4" style="1" width="12"/>
    <col collapsed="false" customWidth="true" hidden="false" outlineLevel="0" max="7" min="7" style="1" width="14"/>
    <col collapsed="false" customWidth="true" hidden="false" outlineLevel="0" max="8" min="8" style="1" width="2"/>
    <col collapsed="false" customWidth="true" hidden="false" outlineLevel="0" max="9" min="9" style="1" width="70"/>
  </cols>
  <sheetData>
    <row r="1" customFormat="false" ht="17.25" hidden="false" customHeight="true" outlineLevel="0" collapsed="false">
      <c r="A1" s="25" t="s">
        <v>0</v>
      </c>
    </row>
    <row r="2" customFormat="false" ht="15" hidden="false" customHeight="true" outlineLevel="0" collapsed="false">
      <c r="A2" s="11" t="s">
        <v>206</v>
      </c>
    </row>
    <row r="3" customFormat="false" ht="15" hidden="false" customHeight="true" outlineLevel="0" collapsed="false">
      <c r="A3" s="12" t="s">
        <v>207</v>
      </c>
      <c r="B3" s="44" t="s">
        <v>208</v>
      </c>
      <c r="C3" s="45" t="s">
        <v>209</v>
      </c>
      <c r="D3" s="5" t="s">
        <v>210</v>
      </c>
      <c r="E3" s="5" t="n">
        <f aca="false">MATCH($C$3,{"Bear","Base","Bull"},0)</f>
        <v>2</v>
      </c>
    </row>
    <row r="6" customFormat="false" ht="15" hidden="false" customHeight="true" outlineLevel="0" collapsed="false">
      <c r="B6" s="46" t="s">
        <v>211</v>
      </c>
      <c r="D6" s="47" t="s">
        <v>212</v>
      </c>
      <c r="E6" s="47" t="s">
        <v>209</v>
      </c>
      <c r="F6" s="47" t="s">
        <v>213</v>
      </c>
      <c r="G6" s="47" t="s">
        <v>214</v>
      </c>
      <c r="I6" s="48" t="s">
        <v>215</v>
      </c>
    </row>
    <row r="7" customFormat="false" ht="15" hidden="false" customHeight="true" outlineLevel="0" collapsed="false">
      <c r="B7" s="49" t="s">
        <v>216</v>
      </c>
      <c r="D7" s="50" t="n">
        <f aca="false">E7-0.04</f>
        <v>0.0896813556729766</v>
      </c>
      <c r="E7" s="19" t="n">
        <f aca="false">('Income Statement'!I8/'Income Statement'!F8)^(1/3)-1</f>
        <v>0.129681355672977</v>
      </c>
      <c r="F7" s="50" t="n">
        <f aca="false">E7+0.04</f>
        <v>0.169681355672977</v>
      </c>
      <c r="G7" s="51" t="n">
        <f aca="false">INDEX(D7:F7,$E$3)</f>
        <v>0.129681355672977</v>
      </c>
      <c r="I7" s="29" t="s">
        <v>217</v>
      </c>
    </row>
    <row r="8" customFormat="false" ht="15" hidden="false" customHeight="true" outlineLevel="0" collapsed="false">
      <c r="B8" s="49" t="s">
        <v>218</v>
      </c>
      <c r="D8" s="50" t="n">
        <f aca="false">E8-0.06</f>
        <v>0.145918693183785</v>
      </c>
      <c r="E8" s="19" t="n">
        <f aca="false">('Income Statement'!I9/'Income Statement'!F9)^(1/3)-1</f>
        <v>0.205918693183785</v>
      </c>
      <c r="F8" s="50" t="n">
        <f aca="false">E8+0.06</f>
        <v>0.265918693183785</v>
      </c>
      <c r="G8" s="51" t="n">
        <f aca="false">INDEX(D8:F8,$E$3)</f>
        <v>0.205918693183785</v>
      </c>
      <c r="I8" s="29" t="s">
        <v>219</v>
      </c>
    </row>
    <row r="9" customFormat="false" ht="15" hidden="false" customHeight="true" outlineLevel="0" collapsed="false">
      <c r="B9" s="49" t="s">
        <v>220</v>
      </c>
      <c r="D9" s="50" t="n">
        <f aca="false">E9-0.04</f>
        <v>0.00670646158867653</v>
      </c>
      <c r="E9" s="19" t="n">
        <f aca="false">('Income Statement'!I10/'Income Statement'!F10)^(1/3)-1</f>
        <v>0.0467064615886765</v>
      </c>
      <c r="F9" s="50" t="n">
        <f aca="false">E9+0.04</f>
        <v>0.0867064615886765</v>
      </c>
      <c r="G9" s="51" t="n">
        <f aca="false">INDEX(D9:F9,$E$3)</f>
        <v>0.0467064615886765</v>
      </c>
      <c r="I9" s="29" t="s">
        <v>217</v>
      </c>
    </row>
    <row r="10" customFormat="false" ht="15" hidden="false" customHeight="true" outlineLevel="0" collapsed="false">
      <c r="B10" s="49" t="s">
        <v>86</v>
      </c>
      <c r="D10" s="50" t="n">
        <f aca="false">E10+0.02</f>
        <v>0.322355561720286</v>
      </c>
      <c r="E10" s="19" t="n">
        <f aca="false">'Income Statement'!I17/'Income Statement'!I11</f>
        <v>0.302355561720286</v>
      </c>
      <c r="F10" s="50" t="n">
        <f aca="false">E10-0.02</f>
        <v>0.282355561720286</v>
      </c>
      <c r="G10" s="51" t="n">
        <f aca="false">INDEX(D10:F10,$E$3)</f>
        <v>0.302355561720286</v>
      </c>
      <c r="I10" s="29" t="s">
        <v>221</v>
      </c>
    </row>
    <row r="11" customFormat="false" ht="15" hidden="false" customHeight="true" outlineLevel="0" collapsed="false">
      <c r="B11" s="49" t="s">
        <v>87</v>
      </c>
      <c r="D11" s="50" t="n">
        <f aca="false">E11+0.01</f>
        <v>0.130389030768352</v>
      </c>
      <c r="E11" s="19" t="n">
        <f aca="false">'Income Statement'!I24/'Income Statement'!I11</f>
        <v>0.120389030768352</v>
      </c>
      <c r="F11" s="50" t="n">
        <f aca="false">E11-0.01</f>
        <v>0.110389030768352</v>
      </c>
      <c r="G11" s="51" t="n">
        <f aca="false">INDEX(D11:F11,$E$3)</f>
        <v>0.120389030768352</v>
      </c>
      <c r="I11" s="29" t="s">
        <v>222</v>
      </c>
    </row>
    <row r="12" customFormat="false" ht="15" hidden="false" customHeight="true" outlineLevel="0" collapsed="false">
      <c r="B12" s="49" t="s">
        <v>88</v>
      </c>
      <c r="D12" s="50" t="n">
        <f aca="false">E12+0.01</f>
        <v>0.109770726413786</v>
      </c>
      <c r="E12" s="19" t="n">
        <f aca="false">'Income Statement'!I25/'Income Statement'!I11</f>
        <v>0.0997707264137858</v>
      </c>
      <c r="F12" s="50" t="n">
        <f aca="false">E12-0.01</f>
        <v>0.0897707264137858</v>
      </c>
      <c r="G12" s="51" t="n">
        <f aca="false">INDEX(D12:F12,$E$3)</f>
        <v>0.0997707264137858</v>
      </c>
      <c r="I12" s="29" t="s">
        <v>222</v>
      </c>
    </row>
    <row r="13" customFormat="false" ht="15" hidden="false" customHeight="true" outlineLevel="0" collapsed="false">
      <c r="B13" s="49" t="s">
        <v>89</v>
      </c>
      <c r="D13" s="50" t="n">
        <f aca="false">E13+0.005</f>
        <v>0.0360416853648387</v>
      </c>
      <c r="E13" s="19" t="n">
        <f aca="false">'Income Statement'!I26/'Income Statement'!I11</f>
        <v>0.0310416853648387</v>
      </c>
      <c r="F13" s="50" t="n">
        <f aca="false">E13-0.005</f>
        <v>0.0260416853648387</v>
      </c>
      <c r="G13" s="51" t="n">
        <f aca="false">INDEX(D13:F13,$E$3)</f>
        <v>0.0310416853648387</v>
      </c>
      <c r="I13" s="29" t="s">
        <v>223</v>
      </c>
    </row>
    <row r="14" customFormat="false" ht="15" hidden="false" customHeight="true" outlineLevel="0" collapsed="false">
      <c r="B14" s="49" t="s">
        <v>77</v>
      </c>
      <c r="D14" s="50" t="n">
        <f aca="false">E14+0.02</f>
        <v>0.202313265978272</v>
      </c>
      <c r="E14" s="19" t="n">
        <f aca="false">'Income Statement'!I34/'Income Statement'!I33</f>
        <v>0.182313265978272</v>
      </c>
      <c r="F14" s="50" t="n">
        <f aca="false">E14-0.02</f>
        <v>0.162313265978272</v>
      </c>
      <c r="G14" s="51" t="n">
        <f aca="false">INDEX(D14:F14,$E$3)</f>
        <v>0.182313265978272</v>
      </c>
      <c r="I14" s="29" t="s">
        <v>224</v>
      </c>
    </row>
    <row r="15" customFormat="false" ht="15" hidden="false" customHeight="true" outlineLevel="0" collapsed="false">
      <c r="B15" s="49" t="s">
        <v>225</v>
      </c>
      <c r="D15" s="50" t="n">
        <f aca="false">E15+0.02</f>
        <v>0.201448421602304</v>
      </c>
      <c r="E15" s="19" t="n">
        <f aca="false">-'Cash Flow Statement'!I30/'Income Statement'!I11</f>
        <v>0.181448421602304</v>
      </c>
      <c r="F15" s="50" t="n">
        <f aca="false">E15-0.02</f>
        <v>0.161448421602304</v>
      </c>
      <c r="G15" s="51" t="n">
        <f aca="false">INDEX(D15:F15,$E$3)</f>
        <v>0.181448421602304</v>
      </c>
      <c r="I15" s="29" t="s">
        <v>226</v>
      </c>
    </row>
    <row r="16" customFormat="false" ht="15" hidden="false" customHeight="true" outlineLevel="0" collapsed="false">
      <c r="B16" s="49" t="s">
        <v>227</v>
      </c>
      <c r="D16" s="50" t="n">
        <f aca="false">E16+0.01</f>
        <v>0.100922071458294</v>
      </c>
      <c r="E16" s="19" t="n">
        <f aca="false">'Cash Flow Statement'!I10/'Income Statement'!I11</f>
        <v>0.0909220714582942</v>
      </c>
      <c r="F16" s="50" t="n">
        <f aca="false">E16-0.01</f>
        <v>0.0809220714582943</v>
      </c>
      <c r="G16" s="51" t="n">
        <f aca="false">INDEX(D16:F16,$E$3)</f>
        <v>0.0909220714582942</v>
      </c>
      <c r="I16" s="29" t="s">
        <v>228</v>
      </c>
    </row>
    <row r="17" customFormat="false" ht="15" hidden="false" customHeight="true" outlineLevel="0" collapsed="false">
      <c r="B17" s="49" t="s">
        <v>229</v>
      </c>
      <c r="D17" s="50" t="n">
        <f aca="false">E17+0.005</f>
        <v>0.0487904390466788</v>
      </c>
      <c r="E17" s="19" t="n">
        <f aca="false">'Cash Flow Statement'!I11/'Income Statement'!I11</f>
        <v>0.0437904390466788</v>
      </c>
      <c r="F17" s="50" t="n">
        <f aca="false">E17-0.005</f>
        <v>0.0387904390466788</v>
      </c>
      <c r="G17" s="51" t="n">
        <f aca="false">INDEX(D17:F17,$E$3)</f>
        <v>0.0437904390466788</v>
      </c>
      <c r="I17" s="29" t="s">
        <v>223</v>
      </c>
    </row>
    <row r="18" customFormat="false" ht="15" hidden="false" customHeight="true" outlineLevel="0" collapsed="false">
      <c r="B18" s="49" t="s">
        <v>230</v>
      </c>
      <c r="D18" s="50" t="n">
        <f aca="false">E18</f>
        <v>0.247015975310883</v>
      </c>
      <c r="E18" s="19" t="n">
        <f aca="false">-'Cash Flow Statement'!I43/'Income Statement'!I37</f>
        <v>0.247015975310883</v>
      </c>
      <c r="F18" s="50" t="n">
        <f aca="false">E18</f>
        <v>0.247015975310883</v>
      </c>
      <c r="G18" s="51" t="n">
        <f aca="false">INDEX(D18:F18,$E$3)</f>
        <v>0.247015975310883</v>
      </c>
      <c r="I18" s="29" t="s">
        <v>231</v>
      </c>
    </row>
    <row r="19" customFormat="false" ht="15" hidden="false" customHeight="true" outlineLevel="0" collapsed="false">
      <c r="B19" s="49" t="s">
        <v>232</v>
      </c>
      <c r="D19" s="50" t="n">
        <f aca="false">MAX(E19-0.05,0)</f>
        <v>0.145765634927839</v>
      </c>
      <c r="E19" s="19" t="n">
        <f aca="false">-'Cash Flow Statement'!I42/'Income Statement'!I37</f>
        <v>0.195765634927839</v>
      </c>
      <c r="F19" s="50" t="n">
        <f aca="false">E19+0.05</f>
        <v>0.245765634927839</v>
      </c>
      <c r="G19" s="51" t="n">
        <f aca="false">INDEX(D19:F19,$E$3)</f>
        <v>0.195765634927839</v>
      </c>
      <c r="I19" s="29" t="s">
        <v>233</v>
      </c>
    </row>
    <row r="20" customFormat="false" ht="15" hidden="false" customHeight="true" outlineLevel="0" collapsed="false">
      <c r="B20" s="49" t="s">
        <v>234</v>
      </c>
      <c r="D20" s="50" t="n">
        <f aca="false">E20</f>
        <v>0.00816736155873402</v>
      </c>
      <c r="E20" s="19" t="n">
        <f aca="false">'Cash Flow Statement'!I41/'Income Statement'!I11</f>
        <v>0.00816736155873402</v>
      </c>
      <c r="F20" s="50" t="n">
        <f aca="false">E20</f>
        <v>0.00816736155873402</v>
      </c>
      <c r="G20" s="51" t="n">
        <f aca="false">INDEX(D20:F20,$E$3)</f>
        <v>0.00816736155873402</v>
      </c>
      <c r="I20" s="29" t="s">
        <v>235</v>
      </c>
    </row>
    <row r="21" customFormat="false" ht="15" hidden="false" customHeight="true" outlineLevel="0" collapsed="false">
      <c r="B21" s="49" t="s">
        <v>90</v>
      </c>
      <c r="D21" s="27" t="n">
        <f aca="false">E21-1000</f>
        <v>-2646</v>
      </c>
      <c r="E21" s="17" t="n">
        <f aca="false">'Income Statement'!I32</f>
        <v>-1646</v>
      </c>
      <c r="F21" s="27" t="n">
        <f aca="false">E21+500</f>
        <v>-1146</v>
      </c>
      <c r="G21" s="52" t="n">
        <f aca="false">INDEX(D21:F21,$E$3)</f>
        <v>-1646</v>
      </c>
      <c r="I21" s="29" t="s">
        <v>236</v>
      </c>
    </row>
  </sheetData>
  <dataValidations count="1">
    <dataValidation allowBlank="false" errorStyle="stop" operator="between" showDropDown="false" showErrorMessage="false" showInputMessage="false" sqref="C3" type="list">
      <formula1>"Bear,Base,Bull"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6"/>
    <col collapsed="false" customWidth="true" hidden="false" outlineLevel="0" max="8" min="3" style="1" width="12"/>
    <col collapsed="false" customWidth="true" hidden="false" outlineLevel="0" max="14" min="9" style="1" width="13"/>
    <col collapsed="false" customWidth="true" hidden="false" outlineLevel="0" max="16" min="16" style="1" width="3"/>
    <col collapsed="false" customWidth="true" hidden="false" outlineLevel="0" max="17" min="17" style="1" width="60"/>
  </cols>
  <sheetData>
    <row r="1" customFormat="false" ht="17.25" hidden="false" customHeight="true" outlineLevel="0" collapsed="false">
      <c r="A1" s="25" t="s">
        <v>0</v>
      </c>
    </row>
    <row r="2" customFormat="false" ht="15" hidden="false" customHeight="true" outlineLevel="0" collapsed="false">
      <c r="A2" s="11" t="s">
        <v>237</v>
      </c>
    </row>
    <row r="3" customFormat="false" ht="15" hidden="false" customHeight="true" outlineLevel="0" collapsed="false">
      <c r="A3" s="12" t="s">
        <v>53</v>
      </c>
    </row>
    <row r="4" customFormat="false" ht="15" hidden="false" customHeight="true" outlineLevel="0" collapsed="false">
      <c r="D4" s="13" t="s">
        <v>32</v>
      </c>
      <c r="E4" s="13" t="s">
        <v>32</v>
      </c>
      <c r="F4" s="13" t="s">
        <v>32</v>
      </c>
      <c r="G4" s="13" t="s">
        <v>32</v>
      </c>
      <c r="H4" s="13" t="s">
        <v>32</v>
      </c>
      <c r="I4" s="13" t="s">
        <v>32</v>
      </c>
      <c r="J4" s="53" t="s">
        <v>238</v>
      </c>
      <c r="K4" s="53" t="s">
        <v>239</v>
      </c>
      <c r="L4" s="53" t="s">
        <v>240</v>
      </c>
      <c r="M4" s="53" t="s">
        <v>241</v>
      </c>
      <c r="N4" s="53" t="s">
        <v>242</v>
      </c>
    </row>
    <row r="5" customFormat="false" ht="15" hidden="false" customHeight="true" outlineLevel="0" collapsed="false">
      <c r="D5" s="15" t="n">
        <v>2019</v>
      </c>
      <c r="E5" s="15" t="n">
        <v>2020</v>
      </c>
      <c r="F5" s="15" t="n">
        <v>2021</v>
      </c>
      <c r="G5" s="15" t="n">
        <v>2022</v>
      </c>
      <c r="H5" s="15" t="n">
        <v>2023</v>
      </c>
      <c r="I5" s="15" t="n">
        <v>2024</v>
      </c>
      <c r="J5" s="15" t="n">
        <v>2025</v>
      </c>
      <c r="K5" s="15" t="n">
        <v>2026</v>
      </c>
      <c r="L5" s="15" t="n">
        <v>2027</v>
      </c>
      <c r="M5" s="15" t="n">
        <v>2028</v>
      </c>
      <c r="N5" s="15" t="n">
        <v>2029</v>
      </c>
    </row>
    <row r="6" customFormat="false" ht="15" hidden="false" customHeight="true" outlineLevel="0" collapsed="false">
      <c r="B6" s="20" t="s">
        <v>243</v>
      </c>
      <c r="C6" s="21"/>
      <c r="D6" s="21"/>
      <c r="E6" s="21"/>
      <c r="F6" s="21"/>
      <c r="G6" s="21"/>
      <c r="H6" s="21"/>
      <c r="I6" s="21"/>
      <c r="J6" s="21"/>
      <c r="K6" s="21"/>
      <c r="L6" s="21"/>
      <c r="M6" s="21"/>
      <c r="N6" s="21"/>
    </row>
    <row r="7" customFormat="false" ht="15" hidden="false" customHeight="true" outlineLevel="0" collapsed="false">
      <c r="B7" s="18" t="s">
        <v>34</v>
      </c>
      <c r="J7" s="17" t="n">
        <f aca="false">'Income Statement'!J11</f>
        <v>279795.172990248</v>
      </c>
      <c r="K7" s="17" t="n">
        <f aca="false">'Income Statement'!K11</f>
        <v>320378.452977505</v>
      </c>
      <c r="L7" s="17" t="n">
        <f aca="false">'Income Statement'!L11</f>
        <v>367967.64121226</v>
      </c>
      <c r="M7" s="17" t="n">
        <f aca="false">'Income Statement'!M11</f>
        <v>423870.255185253</v>
      </c>
      <c r="N7" s="17" t="n">
        <f aca="false">'Income Statement'!N11</f>
        <v>489647.402030666</v>
      </c>
    </row>
    <row r="8" customFormat="false" ht="15" hidden="false" customHeight="true" outlineLevel="0" collapsed="false">
      <c r="B8" s="18" t="s">
        <v>38</v>
      </c>
      <c r="J8" s="17" t="n">
        <f aca="false">'Income Statement'!J43</f>
        <v>150352.151933631</v>
      </c>
      <c r="K8" s="17" t="n">
        <f aca="false">'Income Statement'!K43</f>
        <v>172160.188910816</v>
      </c>
      <c r="L8" s="17" t="n">
        <f aca="false">'Income Statement'!L43</f>
        <v>197732.956244151</v>
      </c>
      <c r="M8" s="17" t="n">
        <f aca="false">'Income Statement'!M43</f>
        <v>227773.068157903</v>
      </c>
      <c r="N8" s="17" t="n">
        <f aca="false">'Income Statement'!N43</f>
        <v>263119.409092123</v>
      </c>
    </row>
    <row r="9" customFormat="false" ht="15" hidden="false" customHeight="true" outlineLevel="0" collapsed="false">
      <c r="B9" s="18" t="s">
        <v>72</v>
      </c>
      <c r="J9" s="17" t="n">
        <f aca="false">'Income Statement'!J29</f>
        <v>124912.595221326</v>
      </c>
      <c r="K9" s="17" t="n">
        <f aca="false">'Income Statement'!K29</f>
        <v>143030.716315497</v>
      </c>
      <c r="L9" s="17" t="n">
        <f aca="false">'Income Statement'!L29</f>
        <v>164276.57607551</v>
      </c>
      <c r="M9" s="17" t="n">
        <f aca="false">'Income Statement'!M29</f>
        <v>189233.906526904</v>
      </c>
      <c r="N9" s="17" t="n">
        <f aca="false">'Income Statement'!N29</f>
        <v>218599.653015322</v>
      </c>
    </row>
    <row r="10" customFormat="false" ht="15" hidden="false" customHeight="true" outlineLevel="0" collapsed="false">
      <c r="B10" s="18" t="s">
        <v>244</v>
      </c>
      <c r="J10" s="17" t="n">
        <f aca="false">-J9*'Scenario Analysis'!$G$14</f>
        <v>-22773.2231966218</v>
      </c>
      <c r="K10" s="17" t="n">
        <f aca="false">-K9*'Scenario Analysis'!$G$14</f>
        <v>-26076.39702669</v>
      </c>
      <c r="L10" s="17" t="n">
        <f aca="false">-L9*'Scenario Analysis'!$G$14</f>
        <v>-29949.7991080543</v>
      </c>
      <c r="M10" s="17" t="n">
        <f aca="false">-M9*'Scenario Analysis'!$G$14</f>
        <v>-34499.851532747</v>
      </c>
      <c r="N10" s="17" t="n">
        <f aca="false">-N9*'Scenario Analysis'!$G$14</f>
        <v>-39853.6166829404</v>
      </c>
    </row>
    <row r="11" customFormat="false" ht="15" hidden="false" customHeight="true" outlineLevel="0" collapsed="false">
      <c r="B11" s="16" t="s">
        <v>245</v>
      </c>
      <c r="J11" s="30" t="n">
        <f aca="false">J9+J10</f>
        <v>102139.372024704</v>
      </c>
      <c r="K11" s="30" t="n">
        <f aca="false">K9+K10</f>
        <v>116954.319288807</v>
      </c>
      <c r="L11" s="30" t="n">
        <f aca="false">L9+L10</f>
        <v>134326.776967456</v>
      </c>
      <c r="M11" s="30" t="n">
        <f aca="false">M9+M10</f>
        <v>154734.054994157</v>
      </c>
      <c r="N11" s="30" t="n">
        <f aca="false">N9+N10</f>
        <v>178746.036332382</v>
      </c>
    </row>
    <row r="12" customFormat="false" ht="15" hidden="false" customHeight="true" outlineLevel="0" collapsed="false">
      <c r="B12" s="18" t="s">
        <v>155</v>
      </c>
      <c r="J12" s="17" t="n">
        <f aca="false">'Income Statement'!J42</f>
        <v>25439.5567123051</v>
      </c>
      <c r="K12" s="17" t="n">
        <f aca="false">'Income Statement'!K42</f>
        <v>29129.4725953185</v>
      </c>
      <c r="L12" s="17" t="n">
        <f aca="false">'Income Statement'!L42</f>
        <v>33456.3801686411</v>
      </c>
      <c r="M12" s="17" t="n">
        <f aca="false">'Income Statement'!M42</f>
        <v>38539.161630999</v>
      </c>
      <c r="N12" s="17" t="n">
        <f aca="false">'Income Statement'!N42</f>
        <v>44519.7560768003</v>
      </c>
    </row>
    <row r="13" customFormat="false" ht="15" hidden="false" customHeight="true" outlineLevel="0" collapsed="false">
      <c r="B13" s="18" t="s">
        <v>246</v>
      </c>
      <c r="J13" s="17" t="n">
        <f aca="false">-'PP&amp;E Schedule'!J8</f>
        <v>-50768.3925110241</v>
      </c>
      <c r="K13" s="17" t="n">
        <f aca="false">-'PP&amp;E Schedule'!K8</f>
        <v>-58132.1646081563</v>
      </c>
      <c r="L13" s="17" t="n">
        <f aca="false">-'PP&amp;E Schedule'!L8</f>
        <v>-66767.1476986875</v>
      </c>
      <c r="M13" s="17" t="n">
        <f aca="false">-'PP&amp;E Schedule'!M8</f>
        <v>-76910.5887675301</v>
      </c>
      <c r="N13" s="17" t="n">
        <f aca="false">-'PP&amp;E Schedule'!N8</f>
        <v>-88845.7482401331</v>
      </c>
    </row>
    <row r="14" customFormat="false" ht="15" hidden="false" customHeight="true" outlineLevel="0" collapsed="false">
      <c r="B14" s="18" t="s">
        <v>247</v>
      </c>
      <c r="J14" s="17" t="n">
        <f aca="false">-((('Balance Sheet'!J12+'Balance Sheet'!J13+'Balance Sheet'!J14)-('Balance Sheet'!J29+'Balance Sheet'!J32+'Balance Sheet'!J34+'Balance Sheet'!J35))-(('Balance Sheet'!I12+'Balance Sheet'!I13+'Balance Sheet'!I14)-('Balance Sheet'!I29+'Balance Sheet'!I32+'Balance Sheet'!I34+'Balance Sheet'!I35)))</f>
        <v>3838.46093889314</v>
      </c>
      <c r="K14" s="17" t="n">
        <f aca="false">-((('Balance Sheet'!K12+'Balance Sheet'!K13+'Balance Sheet'!K14)-('Balance Sheet'!K29+'Balance Sheet'!K32+'Balance Sheet'!K34+'Balance Sheet'!K35))-(('Balance Sheet'!J12+'Balance Sheet'!J13+'Balance Sheet'!J14)-('Balance Sheet'!J29+'Balance Sheet'!J32+'Balance Sheet'!J34+'Balance Sheet'!J35)))</f>
        <v>4492.73376414282</v>
      </c>
      <c r="L14" s="17" t="n">
        <f aca="false">-((('Balance Sheet'!L12+'Balance Sheet'!L13+'Balance Sheet'!L14)-('Balance Sheet'!L29+'Balance Sheet'!L32+'Balance Sheet'!L34+'Balance Sheet'!L35))-(('Balance Sheet'!K12+'Balance Sheet'!K13+'Balance Sheet'!K14)-('Balance Sheet'!K29+'Balance Sheet'!K32+'Balance Sheet'!K34+'Balance Sheet'!K35)))</f>
        <v>5268.3162341132</v>
      </c>
      <c r="M14" s="17" t="n">
        <f aca="false">-((('Balance Sheet'!M12+'Balance Sheet'!M13+'Balance Sheet'!M14)-('Balance Sheet'!M29+'Balance Sheet'!M32+'Balance Sheet'!M34+'Balance Sheet'!M35))-(('Balance Sheet'!L12+'Balance Sheet'!L13+'Balance Sheet'!L14)-('Balance Sheet'!L29+'Balance Sheet'!L32+'Balance Sheet'!L34+'Balance Sheet'!L35)))</f>
        <v>6188.64619565425</v>
      </c>
      <c r="N14" s="17" t="n">
        <f aca="false">-((('Balance Sheet'!N12+'Balance Sheet'!N13+'Balance Sheet'!N14)-('Balance Sheet'!N29+'Balance Sheet'!N32+'Balance Sheet'!N34+'Balance Sheet'!N35))-(('Balance Sheet'!M12+'Balance Sheet'!M13+'Balance Sheet'!M14)-('Balance Sheet'!M29+'Balance Sheet'!M32+'Balance Sheet'!M34+'Balance Sheet'!M35)))</f>
        <v>7281.79705125245</v>
      </c>
    </row>
    <row r="15" customFormat="false" ht="15" hidden="false" customHeight="true" outlineLevel="0" collapsed="false">
      <c r="B15" s="16" t="s">
        <v>248</v>
      </c>
      <c r="J15" s="30" t="n">
        <f aca="false">J11+J12+J13+J14</f>
        <v>80648.9971648781</v>
      </c>
      <c r="K15" s="30" t="n">
        <f aca="false">K11+K12+K13+K14</f>
        <v>92444.3610401122</v>
      </c>
      <c r="L15" s="30" t="n">
        <f aca="false">L11+L12+L13+L14</f>
        <v>106284.325671523</v>
      </c>
      <c r="M15" s="30" t="n">
        <f aca="false">M11+M12+M13+M14</f>
        <v>122551.274053281</v>
      </c>
      <c r="N15" s="30" t="n">
        <f aca="false">N11+N12+N13+N14</f>
        <v>141701.841220301</v>
      </c>
    </row>
    <row r="17" customFormat="false" ht="15" hidden="false" customHeight="true" outlineLevel="0" collapsed="false">
      <c r="B17" s="20" t="s">
        <v>249</v>
      </c>
      <c r="C17" s="21"/>
      <c r="D17" s="21"/>
      <c r="E17" s="21"/>
      <c r="F17" s="21"/>
      <c r="G17" s="21"/>
      <c r="H17" s="21"/>
      <c r="I17" s="21"/>
      <c r="J17" s="21"/>
      <c r="K17" s="21"/>
      <c r="L17" s="21"/>
      <c r="M17" s="21"/>
      <c r="N17" s="21"/>
    </row>
    <row r="18" customFormat="false" ht="15" hidden="false" customHeight="true" outlineLevel="0" collapsed="false">
      <c r="B18" s="18" t="s">
        <v>250</v>
      </c>
      <c r="J18" s="54" t="n">
        <v>0.05</v>
      </c>
      <c r="Q18" s="29" t="s">
        <v>251</v>
      </c>
    </row>
    <row r="19" customFormat="false" ht="15" hidden="false" customHeight="true" outlineLevel="0" collapsed="false">
      <c r="B19" s="18" t="s">
        <v>252</v>
      </c>
      <c r="J19" s="54" t="n">
        <v>0.045</v>
      </c>
      <c r="Q19" s="29" t="s">
        <v>253</v>
      </c>
    </row>
    <row r="20" customFormat="false" ht="15" hidden="false" customHeight="true" outlineLevel="0" collapsed="false">
      <c r="B20" s="18" t="s">
        <v>254</v>
      </c>
      <c r="J20" s="55" t="n">
        <v>1.17</v>
      </c>
      <c r="Q20" s="29" t="s">
        <v>255</v>
      </c>
    </row>
    <row r="21" customFormat="false" ht="15" hidden="false" customHeight="true" outlineLevel="0" collapsed="false">
      <c r="B21" s="16" t="s">
        <v>256</v>
      </c>
      <c r="J21" s="56" t="n">
        <f aca="false">J18+J20*J19</f>
        <v>0.10265</v>
      </c>
    </row>
    <row r="22" customFormat="false" ht="15" hidden="false" customHeight="true" outlineLevel="0" collapsed="false">
      <c r="B22" s="18" t="s">
        <v>257</v>
      </c>
      <c r="J22" s="54" t="n">
        <v>0.055</v>
      </c>
      <c r="Q22" s="29" t="s">
        <v>258</v>
      </c>
    </row>
    <row r="23" customFormat="false" ht="15" hidden="false" customHeight="true" outlineLevel="0" collapsed="false">
      <c r="B23" s="18" t="s">
        <v>259</v>
      </c>
      <c r="J23" s="24" t="n">
        <f aca="false">'Scenario Analysis'!$G$14</f>
        <v>0.182313265978272</v>
      </c>
    </row>
    <row r="24" customFormat="false" ht="15" hidden="false" customHeight="true" outlineLevel="0" collapsed="false">
      <c r="B24" s="16" t="s">
        <v>260</v>
      </c>
      <c r="J24" s="56" t="n">
        <f aca="false">J22*(1-J23)</f>
        <v>0.044972770371195</v>
      </c>
    </row>
    <row r="25" customFormat="false" ht="15" hidden="false" customHeight="true" outlineLevel="0" collapsed="false">
      <c r="B25" s="18" t="s">
        <v>261</v>
      </c>
      <c r="J25" s="57" t="n">
        <f aca="false">7430*493.78</f>
        <v>3668785.4</v>
      </c>
      <c r="Q25" s="29" t="s">
        <v>262</v>
      </c>
    </row>
    <row r="26" customFormat="false" ht="15" hidden="false" customHeight="true" outlineLevel="0" collapsed="false">
      <c r="B26" s="18" t="s">
        <v>263</v>
      </c>
      <c r="J26" s="22" t="n">
        <f aca="false">'Balance Sheet'!I30+'Balance Sheet'!I31+'Balance Sheet'!I39</f>
        <v>51630</v>
      </c>
    </row>
    <row r="27" customFormat="false" ht="15" hidden="false" customHeight="true" outlineLevel="0" collapsed="false">
      <c r="B27" s="18" t="s">
        <v>264</v>
      </c>
      <c r="J27" s="58" t="n">
        <f aca="false">J25+J26</f>
        <v>3720415.4</v>
      </c>
    </row>
    <row r="28" customFormat="false" ht="15" hidden="false" customHeight="true" outlineLevel="0" collapsed="false">
      <c r="B28" s="18" t="s">
        <v>265</v>
      </c>
      <c r="J28" s="59" t="n">
        <f aca="false">J25/J27</f>
        <v>0.98612251739416</v>
      </c>
    </row>
    <row r="29" customFormat="false" ht="15" hidden="false" customHeight="true" outlineLevel="0" collapsed="false">
      <c r="B29" s="18" t="s">
        <v>266</v>
      </c>
      <c r="J29" s="59" t="n">
        <f aca="false">J26/J27</f>
        <v>0.0138774826058402</v>
      </c>
    </row>
    <row r="30" customFormat="false" ht="15" hidden="false" customHeight="true" outlineLevel="0" collapsed="false">
      <c r="B30" s="16" t="s">
        <v>48</v>
      </c>
      <c r="J30" s="60" t="n">
        <f aca="false">J28*J21+J29*J24</f>
        <v>0.101849585249073</v>
      </c>
    </row>
    <row r="32" customFormat="false" ht="15" hidden="false" customHeight="true" outlineLevel="0" collapsed="false">
      <c r="B32" s="20" t="s">
        <v>267</v>
      </c>
      <c r="C32" s="21"/>
      <c r="D32" s="21"/>
      <c r="E32" s="21"/>
      <c r="F32" s="21"/>
      <c r="G32" s="21"/>
      <c r="H32" s="21"/>
      <c r="I32" s="21"/>
      <c r="J32" s="21"/>
      <c r="K32" s="21"/>
      <c r="L32" s="21"/>
      <c r="M32" s="21"/>
      <c r="N32" s="21"/>
    </row>
    <row r="33" customFormat="false" ht="15" hidden="false" customHeight="true" outlineLevel="0" collapsed="false">
      <c r="B33" s="18" t="s">
        <v>268</v>
      </c>
      <c r="J33" s="54" t="n">
        <v>0.03</v>
      </c>
      <c r="Q33" s="29" t="s">
        <v>269</v>
      </c>
    </row>
    <row r="34" customFormat="false" ht="15" hidden="false" customHeight="true" outlineLevel="0" collapsed="false">
      <c r="B34" s="16" t="s">
        <v>270</v>
      </c>
      <c r="J34" s="58" t="n">
        <f aca="false">N15*(1+J33)/(J30-J33)</f>
        <v>2031367.27861339</v>
      </c>
    </row>
    <row r="36" customFormat="false" ht="15" hidden="false" customHeight="true" outlineLevel="0" collapsed="false">
      <c r="B36" s="20" t="s">
        <v>271</v>
      </c>
      <c r="C36" s="21"/>
      <c r="D36" s="21"/>
      <c r="E36" s="21"/>
      <c r="F36" s="21"/>
      <c r="G36" s="21"/>
      <c r="H36" s="21"/>
      <c r="I36" s="21"/>
      <c r="J36" s="21"/>
      <c r="K36" s="21"/>
      <c r="L36" s="21"/>
      <c r="M36" s="21"/>
      <c r="N36" s="21"/>
    </row>
    <row r="37" customFormat="false" ht="15" hidden="false" customHeight="true" outlineLevel="0" collapsed="false">
      <c r="B37" s="18" t="s">
        <v>272</v>
      </c>
      <c r="J37" s="61" t="n">
        <v>1</v>
      </c>
      <c r="K37" s="61" t="n">
        <v>2</v>
      </c>
      <c r="L37" s="61" t="n">
        <v>3</v>
      </c>
      <c r="M37" s="61" t="n">
        <v>4</v>
      </c>
      <c r="N37" s="61" t="n">
        <v>5</v>
      </c>
    </row>
    <row r="38" customFormat="false" ht="15" hidden="false" customHeight="true" outlineLevel="0" collapsed="false">
      <c r="B38" s="18" t="s">
        <v>273</v>
      </c>
      <c r="J38" s="62" t="n">
        <f aca="false">1/(1+$J$30)^J37</f>
        <v>0.907564892148096</v>
      </c>
      <c r="K38" s="62" t="n">
        <f aca="false">1/(1+$J$30)^K37</f>
        <v>0.823674033459786</v>
      </c>
      <c r="L38" s="62" t="n">
        <f aca="false">1/(1+$J$30)^L37</f>
        <v>0.747537635342118</v>
      </c>
      <c r="M38" s="62" t="n">
        <f aca="false">1/(1+$J$30)^M37</f>
        <v>0.678438913395913</v>
      </c>
      <c r="N38" s="62" t="n">
        <f aca="false">1/(1+$J$30)^N37</f>
        <v>0.615727339265233</v>
      </c>
    </row>
    <row r="39" customFormat="false" ht="15" hidden="false" customHeight="true" outlineLevel="0" collapsed="false">
      <c r="B39" s="18" t="s">
        <v>274</v>
      </c>
      <c r="J39" s="30" t="n">
        <f aca="false">J15*J38</f>
        <v>73194.1984137947</v>
      </c>
      <c r="K39" s="30" t="n">
        <f aca="false">K15*K38</f>
        <v>76144.0197285219</v>
      </c>
      <c r="L39" s="30" t="n">
        <f aca="false">L15*L38</f>
        <v>79451.5334864216</v>
      </c>
      <c r="M39" s="30" t="n">
        <f aca="false">M15*M38</f>
        <v>83143.5532039923</v>
      </c>
      <c r="N39" s="30" t="n">
        <f aca="false">N15*N38</f>
        <v>87249.6976635608</v>
      </c>
    </row>
    <row r="41" customFormat="false" ht="15" hidden="false" customHeight="true" outlineLevel="0" collapsed="false">
      <c r="B41" s="18" t="s">
        <v>275</v>
      </c>
      <c r="J41" s="58" t="n">
        <f aca="false">SUM(J39:N39)</f>
        <v>399183.002496291</v>
      </c>
    </row>
    <row r="42" customFormat="false" ht="15" hidden="false" customHeight="true" outlineLevel="0" collapsed="false">
      <c r="B42" s="18" t="s">
        <v>276</v>
      </c>
      <c r="J42" s="58" t="n">
        <f aca="false">J34*N38</f>
        <v>1250768.36953108</v>
      </c>
    </row>
    <row r="43" customFormat="false" ht="15" hidden="false" customHeight="true" outlineLevel="0" collapsed="false">
      <c r="B43" s="16" t="s">
        <v>277</v>
      </c>
      <c r="J43" s="58" t="n">
        <f aca="false">J41+J42</f>
        <v>1649951.37202737</v>
      </c>
    </row>
    <row r="44" customFormat="false" ht="15" hidden="false" customHeight="true" outlineLevel="0" collapsed="false">
      <c r="B44" s="18" t="s">
        <v>278</v>
      </c>
      <c r="J44" s="22" t="n">
        <f aca="false">-J26</f>
        <v>-51630</v>
      </c>
    </row>
    <row r="45" customFormat="false" ht="15" hidden="false" customHeight="true" outlineLevel="0" collapsed="false">
      <c r="B45" s="18" t="s">
        <v>279</v>
      </c>
      <c r="J45" s="22" t="n">
        <f aca="false">'Balance Sheet'!I10+'Balance Sheet'!I11</f>
        <v>75543</v>
      </c>
    </row>
    <row r="46" customFormat="false" ht="15" hidden="false" customHeight="true" outlineLevel="0" collapsed="false">
      <c r="B46" s="16" t="s">
        <v>280</v>
      </c>
      <c r="J46" s="58" t="n">
        <f aca="false">J43+J44+J45</f>
        <v>1673864.37202737</v>
      </c>
    </row>
    <row r="47" customFormat="false" ht="15" hidden="false" customHeight="true" outlineLevel="0" collapsed="false">
      <c r="B47" s="18" t="s">
        <v>281</v>
      </c>
      <c r="J47" s="63" t="n">
        <f aca="false">'Income Statement'!I39</f>
        <v>7469</v>
      </c>
    </row>
    <row r="48" customFormat="false" ht="15" hidden="false" customHeight="true" outlineLevel="0" collapsed="false">
      <c r="B48" s="16" t="s">
        <v>282</v>
      </c>
      <c r="J48" s="64" t="n">
        <f aca="false">J46/J47</f>
        <v>224.108230288843</v>
      </c>
    </row>
    <row r="49" customFormat="false" ht="15" hidden="false" customHeight="true" outlineLevel="0" collapsed="false">
      <c r="B49" s="18" t="s">
        <v>283</v>
      </c>
      <c r="J49" s="65" t="n">
        <v>493.78</v>
      </c>
      <c r="Q49" s="29" t="s">
        <v>284</v>
      </c>
    </row>
    <row r="50" customFormat="false" ht="15" hidden="false" customHeight="true" outlineLevel="0" collapsed="false">
      <c r="B50" s="18" t="s">
        <v>285</v>
      </c>
      <c r="J50" s="56" t="n">
        <f aca="false">J48/J49-1</f>
        <v>-0.546137489795368</v>
      </c>
    </row>
    <row r="53" customFormat="false" ht="15" hidden="false" customHeight="true" outlineLevel="0" collapsed="false">
      <c r="B53" s="20" t="s">
        <v>286</v>
      </c>
      <c r="C53" s="21"/>
      <c r="D53" s="21"/>
      <c r="E53" s="21"/>
      <c r="F53" s="21"/>
      <c r="G53" s="21"/>
      <c r="H53" s="21"/>
      <c r="I53" s="21"/>
      <c r="J53" s="21"/>
      <c r="K53" s="21"/>
      <c r="L53" s="21"/>
      <c r="M53" s="21"/>
      <c r="N53" s="21"/>
    </row>
    <row r="55" customFormat="false" ht="15" hidden="false" customHeight="true" outlineLevel="0" collapsed="false">
      <c r="C55" s="66" t="s">
        <v>287</v>
      </c>
      <c r="D55" s="67" t="n">
        <f aca="false">$J$33+(-0.01)</f>
        <v>0.02</v>
      </c>
      <c r="E55" s="67" t="n">
        <f aca="false">$J$33+(-0.005)</f>
        <v>0.025</v>
      </c>
      <c r="F55" s="67" t="n">
        <f aca="false">$J$33+(0)</f>
        <v>0.03</v>
      </c>
      <c r="G55" s="67" t="n">
        <f aca="false">$J$33+(0.005)</f>
        <v>0.035</v>
      </c>
      <c r="H55" s="67" t="n">
        <f aca="false">$J$33+(0.01)</f>
        <v>0.04</v>
      </c>
    </row>
    <row r="56" customFormat="false" ht="15" hidden="false" customHeight="true" outlineLevel="0" collapsed="false">
      <c r="C56" s="67" t="n">
        <f aca="false">$J$30+(-0.01)</f>
        <v>0.0918495852490732</v>
      </c>
      <c r="D56" s="68" t="n">
        <f aca="false">((J$15/(1+$C56)^1+K$15/(1+$C56)^2+L$15/(1+$C56)^3+M$15/(1+$C56)^4+N$15/(1+$C56)^5+(N$15*(1+D$55)/($C56-D$55))/(1+$C56)^5)+$J$44+$J$45)/$J$47</f>
        <v>231.74762470567</v>
      </c>
      <c r="E56" s="68" t="n">
        <f aca="false">((J$15/(1+$C56)^1+K$15/(1+$C56)^2+L$15/(1+$C56)^3+M$15/(1+$C56)^4+N$15/(1+$C56)^5+(N$15*(1+E$55)/($C56-E$55))/(1+$C56)^5)+$J$44+$J$45)/$J$47</f>
        <v>245.644232537917</v>
      </c>
      <c r="F56" s="68" t="n">
        <f aca="false">((J$15/(1+$C56)^1+K$15/(1+$C56)^2+L$15/(1+$C56)^3+M$15/(1+$C56)^4+N$15/(1+$C56)^5+(N$15*(1+F$55)/($C56-F$55))/(1+$C56)^5)+$J$44+$J$45)/$J$47</f>
        <v>261.787679662018</v>
      </c>
      <c r="G56" s="68" t="n">
        <f aca="false">((J$15/(1+$C56)^1+K$15/(1+$C56)^2+L$15/(1+$C56)^3+M$15/(1+$C56)^4+N$15/(1+$C56)^5+(N$15*(1+G$55)/($C56-G$55))/(1+$C56)^5)+$J$44+$J$45)/$J$47</f>
        <v>280.770803989281</v>
      </c>
      <c r="H56" s="68" t="n">
        <f aca="false">((J$15/(1+$C56)^1+K$15/(1+$C56)^2+L$15/(1+$C56)^3+M$15/(1+$C56)^4+N$15/(1+$C56)^5+(N$15*(1+H$55)/($C56-H$55))/(1+$C56)^5)+$J$44+$J$45)/$J$47</f>
        <v>303.415119478647</v>
      </c>
    </row>
    <row r="57" customFormat="false" ht="15" hidden="false" customHeight="true" outlineLevel="0" collapsed="false">
      <c r="C57" s="67" t="n">
        <f aca="false">$J$30+(-0.005)</f>
        <v>0.0968495852490732</v>
      </c>
      <c r="D57" s="68" t="n">
        <f aca="false">((J$15/(1+$C57)^1+K$15/(1+$C57)^2+L$15/(1+$C57)^3+M$15/(1+$C57)^4+N$15/(1+$C57)^5+(N$15*(1+D$55)/($C57-D$55))/(1+$C57)^5)+$J$44+$J$45)/$J$47</f>
        <v>216.016064196386</v>
      </c>
      <c r="E57" s="68" t="n">
        <f aca="false">((J$15/(1+$C57)^1+K$15/(1+$C57)^2+L$15/(1+$C57)^3+M$15/(1+$C57)^4+N$15/(1+$C57)^5+(N$15*(1+E$55)/($C57-E$55))/(1+$C57)^5)+$J$44+$J$45)/$J$47</f>
        <v>227.885469045334</v>
      </c>
      <c r="F57" s="68" t="n">
        <f aca="false">((J$15/(1+$C57)^1+K$15/(1+$C57)^2+L$15/(1+$C57)^3+M$15/(1+$C57)^4+N$15/(1+$C57)^5+(N$15*(1+F$55)/($C57-F$55))/(1+$C57)^5)+$J$44+$J$45)/$J$47</f>
        <v>241.530412935359</v>
      </c>
      <c r="G57" s="68" t="n">
        <f aca="false">((J$15/(1+$C57)^1+K$15/(1+$C57)^2+L$15/(1+$C57)^3+M$15/(1+$C57)^4+N$15/(1+$C57)^5+(N$15*(1+G$55)/($C57-G$55))/(1+$C57)^5)+$J$44+$J$45)/$J$47</f>
        <v>257.381506443861</v>
      </c>
      <c r="H57" s="68" t="n">
        <f aca="false">((J$15/(1+$C57)^1+K$15/(1+$C57)^2+L$15/(1+$C57)^3+M$15/(1+$C57)^4+N$15/(1+$C57)^5+(N$15*(1+H$55)/($C57-H$55))/(1+$C57)^5)+$J$44+$J$45)/$J$47</f>
        <v>276.020851342246</v>
      </c>
    </row>
    <row r="58" customFormat="false" ht="15" hidden="false" customHeight="true" outlineLevel="0" collapsed="false">
      <c r="C58" s="67" t="n">
        <f aca="false">$J$30+(0)</f>
        <v>0.101849585249073</v>
      </c>
      <c r="D58" s="68" t="n">
        <f aca="false">((J$15/(1+$C58)^1+K$15/(1+$C58)^2+L$15/(1+$C58)^3+M$15/(1+$C58)^4+N$15/(1+$C58)^5+(N$15*(1+D$55)/($C58-D$55))/(1+$C58)^5)+$J$44+$J$45)/$J$47</f>
        <v>202.221391694098</v>
      </c>
      <c r="E58" s="68" t="n">
        <f aca="false">((J$15/(1+$C58)^1+K$15/(1+$C58)^2+L$15/(1+$C58)^3+M$15/(1+$C58)^4+N$15/(1+$C58)^5+(N$15*(1+E$55)/($C58-E$55))/(1+$C58)^5)+$J$44+$J$45)/$J$47</f>
        <v>212.452808495823</v>
      </c>
      <c r="F58" s="69" t="n">
        <f aca="false">((J$15/(1+$C58)^1+K$15/(1+$C58)^2+L$15/(1+$C58)^3+M$15/(1+$C58)^4+N$15/(1+$C58)^5+(N$15*(1+F$55)/($C58-F$55))/(1+$C58)^5)+$J$44+$J$45)/$J$47</f>
        <v>224.108230288843</v>
      </c>
      <c r="G58" s="68" t="n">
        <f aca="false">((J$15/(1+$C58)^1+K$15/(1+$C58)^2+L$15/(1+$C58)^3+M$15/(1+$C58)^4+N$15/(1+$C58)^5+(N$15*(1+G$55)/($C58-G$55))/(1+$C58)^5)+$J$44+$J$45)/$J$47</f>
        <v>237.507181491896</v>
      </c>
      <c r="H58" s="68" t="n">
        <f aca="false">((J$15/(1+$C58)^1+K$15/(1+$C58)^2+L$15/(1+$C58)^3+M$15/(1+$C58)^4+N$15/(1+$C58)^5+(N$15*(1+H$55)/($C58-H$55))/(1+$C58)^5)+$J$44+$J$45)/$J$47</f>
        <v>253.072509583184</v>
      </c>
    </row>
    <row r="59" customFormat="false" ht="15" hidden="false" customHeight="true" outlineLevel="0" collapsed="false">
      <c r="C59" s="67" t="n">
        <f aca="false">$J$30+(0.005)</f>
        <v>0.106849585249073</v>
      </c>
      <c r="D59" s="68" t="n">
        <f aca="false">((J$15/(1+$C59)^1+K$15/(1+$C59)^2+L$15/(1+$C59)^3+M$15/(1+$C59)^4+N$15/(1+$C59)^5+(N$15*(1+D$55)/($C59-D$55))/(1+$C59)^5)+$J$44+$J$45)/$J$47</f>
        <v>190.028748389175</v>
      </c>
      <c r="E59" s="68" t="n">
        <f aca="false">((J$15/(1+$C59)^1+K$15/(1+$C59)^2+L$15/(1+$C59)^3+M$15/(1+$C59)^4+N$15/(1+$C59)^5+(N$15*(1+E$55)/($C59-E$55))/(1+$C59)^5)+$J$44+$J$45)/$J$47</f>
        <v>198.919620836334</v>
      </c>
      <c r="F59" s="68" t="n">
        <f aca="false">((J$15/(1+$C59)^1+K$15/(1+$C59)^2+L$15/(1+$C59)^3+M$15/(1+$C59)^4+N$15/(1+$C59)^5+(N$15*(1+F$55)/($C59-F$55))/(1+$C59)^5)+$J$44+$J$45)/$J$47</f>
        <v>208.967412012246</v>
      </c>
      <c r="G59" s="68" t="n">
        <f aca="false">((J$15/(1+$C59)^1+K$15/(1+$C59)^2+L$15/(1+$C59)^3+M$15/(1+$C59)^4+N$15/(1+$C59)^5+(N$15*(1+G$55)/($C59-G$55))/(1+$C59)^5)+$J$44+$J$45)/$J$47</f>
        <v>220.413651229449</v>
      </c>
      <c r="H59" s="68" t="n">
        <f aca="false">((J$15/(1+$C59)^1+K$15/(1+$C59)^2+L$15/(1+$C59)^3+M$15/(1+$C59)^4+N$15/(1+$C59)^5+(N$15*(1+H$55)/($C59-H$55))/(1+$C59)^5)+$J$44+$J$45)/$J$47</f>
        <v>233.572128327344</v>
      </c>
    </row>
    <row r="60" customFormat="false" ht="15" hidden="false" customHeight="true" outlineLevel="0" collapsed="false">
      <c r="C60" s="67" t="n">
        <f aca="false">$J$30+(0.01)</f>
        <v>0.111849585249073</v>
      </c>
      <c r="D60" s="68" t="n">
        <f aca="false">((J$15/(1+$C60)^1+K$15/(1+$C60)^2+L$15/(1+$C60)^3+M$15/(1+$C60)^4+N$15/(1+$C60)^5+(N$15*(1+D$55)/($C60-D$55))/(1+$C60)^5)+$J$44+$J$45)/$J$47</f>
        <v>179.17619918276</v>
      </c>
      <c r="E60" s="68" t="n">
        <f aca="false">((J$15/(1+$C60)^1+K$15/(1+$C60)^2+L$15/(1+$C60)^3+M$15/(1+$C60)^4+N$15/(1+$C60)^5+(N$15*(1+E$55)/($C60-E$55))/(1+$C60)^5)+$J$44+$J$45)/$J$47</f>
        <v>186.957531018612</v>
      </c>
      <c r="F60" s="68" t="n">
        <f aca="false">((J$15/(1+$C60)^1+K$15/(1+$C60)^2+L$15/(1+$C60)^3+M$15/(1+$C60)^4+N$15/(1+$C60)^5+(N$15*(1+F$55)/($C60-F$55))/(1+$C60)^5)+$J$44+$J$45)/$J$47</f>
        <v>195.689549630967</v>
      </c>
      <c r="G60" s="68" t="n">
        <f aca="false">((J$15/(1+$C60)^1+K$15/(1+$C60)^2+L$15/(1+$C60)^3+M$15/(1+$C60)^4+N$15/(1+$C60)^5+(N$15*(1+G$55)/($C60-G$55))/(1+$C60)^5)+$J$44+$J$45)/$J$47</f>
        <v>205.557816224889</v>
      </c>
      <c r="H60" s="68" t="n">
        <f aca="false">((J$15/(1+$C60)^1+K$15/(1+$C60)^2+L$15/(1+$C60)^3+M$15/(1+$C60)^4+N$15/(1+$C60)^5+(N$15*(1+H$55)/($C60-H$55))/(1+$C60)^5)+$J$44+$J$45)/$J$47</f>
        <v>216.799544691934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115"/>
  </cols>
  <sheetData>
    <row r="1" customFormat="false" ht="19.5" hidden="false" customHeight="true" outlineLevel="0" collapsed="false">
      <c r="A1" s="10" t="s">
        <v>0</v>
      </c>
    </row>
    <row r="2" customFormat="false" ht="15" hidden="false" customHeight="true" outlineLevel="0" collapsed="false">
      <c r="A2" s="11" t="s">
        <v>21</v>
      </c>
    </row>
    <row r="4" customFormat="false" ht="15" hidden="false" customHeight="true" outlineLevel="0" collapsed="false">
      <c r="B4" s="6" t="s">
        <v>288</v>
      </c>
    </row>
    <row r="6" customFormat="false" ht="30" hidden="false" customHeight="true" outlineLevel="0" collapsed="false">
      <c r="B6" s="9" t="s">
        <v>289</v>
      </c>
    </row>
    <row r="7" customFormat="false" ht="15" hidden="false" customHeight="true" outlineLevel="0" collapsed="false">
      <c r="B7" s="9" t="s">
        <v>290</v>
      </c>
    </row>
    <row r="8" customFormat="false" ht="30" hidden="false" customHeight="true" outlineLevel="0" collapsed="false">
      <c r="B8" s="70" t="s">
        <v>291</v>
      </c>
    </row>
    <row r="9" customFormat="false" ht="30" hidden="false" customHeight="true" outlineLevel="0" collapsed="false">
      <c r="B9" s="70" t="s">
        <v>292</v>
      </c>
    </row>
    <row r="10" customFormat="false" ht="30" hidden="false" customHeight="true" outlineLevel="0" collapsed="false">
      <c r="B10" s="70" t="s">
        <v>293</v>
      </c>
    </row>
    <row r="11" customFormat="false" ht="30" hidden="false" customHeight="true" outlineLevel="0" collapsed="false">
      <c r="B11" s="70" t="s">
        <v>294</v>
      </c>
    </row>
    <row r="12" customFormat="false" ht="30" hidden="false" customHeight="true" outlineLevel="0" collapsed="false">
      <c r="B12" s="70" t="s">
        <v>295</v>
      </c>
    </row>
    <row r="13" customFormat="false" ht="30" hidden="false" customHeight="true" outlineLevel="0" collapsed="false">
      <c r="B13" s="70" t="s">
        <v>296</v>
      </c>
    </row>
    <row r="15" customFormat="false" ht="30" hidden="false" customHeight="true" outlineLevel="0" collapsed="false">
      <c r="B15" s="9" t="s">
        <v>297</v>
      </c>
    </row>
    <row r="17" customFormat="false" ht="15" hidden="false" customHeight="true" outlineLevel="0" collapsed="false">
      <c r="B17" s="6" t="s">
        <v>298</v>
      </c>
    </row>
    <row r="19" customFormat="false" ht="30" hidden="false" customHeight="true" outlineLevel="0" collapsed="false">
      <c r="B19" s="9" t="s">
        <v>299</v>
      </c>
    </row>
    <row r="21" customFormat="false" ht="15" hidden="false" customHeight="true" outlineLevel="0" collapsed="false">
      <c r="B21" s="6" t="s">
        <v>300</v>
      </c>
    </row>
    <row r="23" customFormat="false" ht="30" hidden="false" customHeight="true" outlineLevel="0" collapsed="false">
      <c r="B23" s="9" t="s">
        <v>301</v>
      </c>
    </row>
    <row r="24" customFormat="false" ht="30" hidden="false" customHeight="true" outlineLevel="0" collapsed="false">
      <c r="B24" s="9" t="s">
        <v>302</v>
      </c>
    </row>
    <row r="25" customFormat="false" ht="30" hidden="false" customHeight="true" outlineLevel="0" collapsed="false">
      <c r="B25" s="9" t="s">
        <v>303</v>
      </c>
    </row>
    <row r="26" customFormat="false" ht="30" hidden="false" customHeight="true" outlineLevel="0" collapsed="false">
      <c r="B26" s="9" t="s">
        <v>304</v>
      </c>
    </row>
    <row r="27" customFormat="false" ht="30" hidden="false" customHeight="true" outlineLevel="0" collapsed="false">
      <c r="B27" s="9" t="s">
        <v>305</v>
      </c>
    </row>
    <row r="28" customFormat="false" ht="30" hidden="false" customHeight="true" outlineLevel="0" collapsed="false">
      <c r="B28" s="9" t="s">
        <v>306</v>
      </c>
    </row>
    <row r="29" customFormat="false" ht="30" hidden="false" customHeight="true" outlineLevel="0" collapsed="false">
      <c r="B29" s="9" t="s">
        <v>307</v>
      </c>
    </row>
    <row r="31" customFormat="false" ht="15" hidden="false" customHeight="true" outlineLevel="0" collapsed="false">
      <c r="B31" s="6" t="s">
        <v>308</v>
      </c>
    </row>
    <row r="33" customFormat="false" ht="30" hidden="false" customHeight="true" outlineLevel="0" collapsed="false">
      <c r="B33" s="9" t="s">
        <v>309</v>
      </c>
    </row>
    <row r="35" customFormat="false" ht="15" hidden="false" customHeight="true" outlineLevel="0" collapsed="false">
      <c r="B35" s="6" t="s">
        <v>310</v>
      </c>
    </row>
    <row r="37" customFormat="false" ht="30" hidden="false" customHeight="true" outlineLevel="0" collapsed="false">
      <c r="B37" s="9" t="s">
        <v>311</v>
      </c>
    </row>
    <row r="39" customFormat="false" ht="15" hidden="false" customHeight="true" outlineLevel="0" collapsed="false">
      <c r="B39" s="6" t="s">
        <v>312</v>
      </c>
    </row>
    <row r="41" customFormat="false" ht="30" hidden="false" customHeight="true" outlineLevel="0" collapsed="false">
      <c r="B41" s="9" t="s">
        <v>313</v>
      </c>
    </row>
    <row r="43" customFormat="false" ht="15" hidden="false" customHeight="true" outlineLevel="0" collapsed="false">
      <c r="B43" s="6" t="s">
        <v>314</v>
      </c>
    </row>
    <row r="45" customFormat="false" ht="30" hidden="false" customHeight="true" outlineLevel="0" collapsed="false">
      <c r="B45" s="9" t="s">
        <v>315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2026-09-20T06:22:59Z</dcterms:created>
  <dc:creator>openpyxl</dc:creator>
  <dc:description/>
  <dc:language>en-US</dc:language>
  <cp:lastModifiedBy/>
  <dcterms:modified xsi:type="dcterms:W3CDTF">2026-09-19T23:23:35Z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