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Executive Summary" sheetId="2" state="visible" r:id="rId2"/>
    <sheet xmlns:r="http://schemas.openxmlformats.org/officeDocument/2006/relationships" name="Assumptions" sheetId="3" state="visible" r:id="rId3"/>
    <sheet xmlns:r="http://schemas.openxmlformats.org/officeDocument/2006/relationships" name="Sources &amp; Uses" sheetId="4" state="visible" r:id="rId4"/>
    <sheet xmlns:r="http://schemas.openxmlformats.org/officeDocument/2006/relationships" name="Operating Model" sheetId="5" state="visible" r:id="rId5"/>
    <sheet xmlns:r="http://schemas.openxmlformats.org/officeDocument/2006/relationships" name="Debt Schedule" sheetId="6" state="visible" r:id="rId6"/>
    <sheet xmlns:r="http://schemas.openxmlformats.org/officeDocument/2006/relationships" name="Exit Analysis" sheetId="7" state="visible" r:id="rId7"/>
    <sheet xmlns:r="http://schemas.openxmlformats.org/officeDocument/2006/relationships" name="Investor Returns" sheetId="8" state="visible" r:id="rId8"/>
    <sheet xmlns:r="http://schemas.openxmlformats.org/officeDocument/2006/relationships" name="Sensitivity Analysis" sheetId="9" state="visible" r:id="rId9"/>
    <sheet xmlns:r="http://schemas.openxmlformats.org/officeDocument/2006/relationships" name="Scenario" sheetId="10" state="visible" r:id="rId10"/>
    <sheet xmlns:r="http://schemas.openxmlformats.org/officeDocument/2006/relationships" name="Model Checks" sheetId="11" state="visible" r:id="rId11"/>
    <sheet xmlns:r="http://schemas.openxmlformats.org/officeDocument/2006/relationships" name="Sources &amp; Methodology" sheetId="12" state="visible" r:id="rId12"/>
  </sheets>
  <definedNames/>
  <calcPr calcId="124519" fullCalcOnLoad="1"/>
</workbook>
</file>

<file path=xl/styles.xml><?xml version="1.0" encoding="utf-8"?>
<styleSheet xmlns="http://schemas.openxmlformats.org/spreadsheetml/2006/main">
  <numFmts count="8">
    <numFmt numFmtId="164" formatCode="#,##0.0;(#,##0.0)"/>
    <numFmt numFmtId="165" formatCode="0.0%;(0.0%)"/>
    <numFmt numFmtId="166" formatCode="0.0&quot;x&quot;"/>
    <numFmt numFmtId="167" formatCode="#,##0&quot; bps&quot;"/>
    <numFmt numFmtId="168" formatCode="0&quot; yrs&quot;"/>
    <numFmt numFmtId="169" formatCode="$#,##0.00;($#,##0.00)"/>
    <numFmt numFmtId="170" formatCode="0.00&quot;x&quot;"/>
    <numFmt numFmtId="171" formatCode="$#,##0.0;($#,##0.0)"/>
  </numFmts>
  <fonts count="22">
    <font>
      <name val="Calibri"/>
      <family val="2"/>
      <color theme="1"/>
      <sz val="11"/>
      <scheme val="minor"/>
    </font>
    <font>
      <name val="Calibri"/>
      <b val="1"/>
      <color rgb="00FFFFFF"/>
      <sz val="26"/>
    </font>
    <font>
      <name val="Calibri"/>
      <i val="1"/>
      <color rgb="00C9D6EE"/>
      <sz val="12.5"/>
    </font>
    <font>
      <name val="Calibri"/>
      <b val="1"/>
      <color rgb="00FFF2CC"/>
      <sz val="11"/>
    </font>
    <font>
      <name val="Calibri"/>
      <color rgb="00C9D6EE"/>
      <sz val="10"/>
    </font>
    <font>
      <name val="Calibri"/>
      <b val="1"/>
      <color rgb="001F3864"/>
      <sz val="13"/>
    </font>
    <font>
      <name val="Calibri"/>
      <color rgb="00262626"/>
      <sz val="10.5"/>
    </font>
    <font>
      <name val="Calibri"/>
      <b val="1"/>
      <color rgb="00262626"/>
      <sz val="10.5"/>
    </font>
    <font>
      <name val="Calibri"/>
      <color rgb="000B5CD5"/>
      <sz val="10.5"/>
    </font>
    <font>
      <name val="Calibri"/>
      <color rgb="001A1A1A"/>
      <sz val="10.5"/>
    </font>
    <font>
      <name val="Calibri"/>
      <i val="1"/>
      <color rgb="000E7C7B"/>
      <sz val="10.5"/>
    </font>
    <font>
      <name val="Calibri"/>
      <i val="1"/>
      <color rgb="007F7F7F"/>
      <sz val="9"/>
    </font>
    <font>
      <name val="Calibri"/>
      <b val="1"/>
      <color rgb="00FFFFFF"/>
      <sz val="16"/>
    </font>
    <font>
      <name val="Calibri"/>
      <i val="1"/>
      <color rgb="00EEF2FA"/>
      <sz val="10"/>
    </font>
    <font>
      <name val="Calibri"/>
      <b val="1"/>
      <color rgb="00FFFFFF"/>
      <sz val="11"/>
    </font>
    <font>
      <name val="Calibri"/>
      <b val="1"/>
      <color rgb="001A1A1A"/>
      <sz val="11"/>
    </font>
    <font>
      <name val="Calibri"/>
      <b val="1"/>
      <color rgb="000B5CD5"/>
      <sz val="11"/>
    </font>
    <font>
      <name val="Calibri"/>
      <b val="1"/>
      <color rgb="001F3864"/>
      <sz val="10"/>
    </font>
    <font>
      <name val="Calibri"/>
      <b val="1"/>
      <i val="1"/>
      <color rgb="009C2B2B"/>
      <sz val="9.5"/>
    </font>
    <font>
      <name val="Calibri"/>
      <b val="1"/>
      <color rgb="007F7F7F"/>
      <sz val="9.5"/>
    </font>
    <font>
      <name val="Calibri"/>
      <b val="1"/>
      <color rgb="001F3864"/>
      <sz val="20"/>
    </font>
    <font>
      <name val="Calibri"/>
      <i val="1"/>
      <color rgb="007F7F7F"/>
      <sz val="9.5"/>
    </font>
  </fonts>
  <fills count="10">
    <fill>
      <patternFill/>
    </fill>
    <fill>
      <patternFill patternType="gray125"/>
    </fill>
    <fill>
      <patternFill patternType="solid">
        <fgColor rgb="001F3864"/>
      </patternFill>
    </fill>
    <fill>
      <patternFill patternType="solid">
        <fgColor rgb="00162A4A"/>
      </patternFill>
    </fill>
    <fill>
      <patternFill patternType="solid">
        <fgColor rgb="002E5395"/>
      </patternFill>
    </fill>
    <fill>
      <patternFill patternType="solid">
        <fgColor rgb="00EEF2FA"/>
      </patternFill>
    </fill>
    <fill>
      <patternFill patternType="solid">
        <fgColor rgb="00FFFFFF"/>
      </patternFill>
    </fill>
    <fill>
      <patternFill patternType="solid">
        <fgColor rgb="00FFF2CC"/>
      </patternFill>
    </fill>
    <fill>
      <patternFill patternType="solid">
        <fgColor rgb="00D9E1F2"/>
      </patternFill>
    </fill>
    <fill>
      <patternFill patternType="solid">
        <fgColor rgb="00E2F0E5"/>
      </patternFill>
    </fill>
  </fills>
  <borders count="5">
    <border>
      <left/>
      <right/>
      <top/>
      <bottom/>
      <diagonal/>
    </border>
    <border>
      <left style="thin">
        <color rgb="00BFBFBF"/>
      </left>
      <right style="thin">
        <color rgb="00BFBFBF"/>
      </right>
      <top style="thin">
        <color rgb="00BFBFBF"/>
      </top>
      <bottom style="thin">
        <color rgb="00BFBFBF"/>
      </bottom>
    </border>
    <border>
      <bottom style="thin">
        <color rgb="00BFBFBF"/>
      </bottom>
    </border>
    <border>
      <top style="thin">
        <color rgb="001F3864"/>
      </top>
      <bottom style="double">
        <color rgb="001F3864"/>
      </bottom>
    </border>
    <border>
      <top style="thin">
        <color rgb="001F3864"/>
      </top>
    </border>
  </borders>
  <cellStyleXfs count="1">
    <xf numFmtId="0" fontId="0" fillId="0" borderId="0"/>
  </cellStyleXfs>
  <cellXfs count="88">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2" borderId="0" applyAlignment="1" pivotButton="0" quotePrefix="0" xfId="0">
      <alignment horizontal="left" vertical="center"/>
    </xf>
    <xf numFmtId="0" fontId="4" fillId="2" borderId="0" applyAlignment="1" pivotButton="0" quotePrefix="0" xfId="0">
      <alignment horizontal="left" vertical="center"/>
    </xf>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2" borderId="0" applyAlignment="1" pivotButton="0" quotePrefix="0" xfId="0">
      <alignment horizontal="left" vertical="center" indent="1"/>
    </xf>
    <xf numFmtId="0" fontId="13" fillId="3" borderId="0" applyAlignment="1" pivotButton="0" quotePrefix="0" xfId="0">
      <alignment horizontal="left" vertical="center" indent="1"/>
    </xf>
    <xf numFmtId="0" fontId="14" fillId="4" borderId="0" applyAlignment="1" pivotButton="0" quotePrefix="0" xfId="0">
      <alignment horizontal="left" vertical="center" indent="1"/>
    </xf>
    <xf numFmtId="0" fontId="6" fillId="0" borderId="0" applyAlignment="1" pivotButton="0" quotePrefix="0" xfId="0">
      <alignment horizontal="left" vertical="center" indent="1"/>
    </xf>
    <xf numFmtId="164" fontId="8" fillId="5" borderId="1" applyAlignment="1" pivotButton="0" quotePrefix="0" xfId="0">
      <alignment horizontal="right" vertical="center"/>
    </xf>
    <xf numFmtId="0" fontId="11" fillId="0" borderId="0" applyAlignment="1" pivotButton="0" quotePrefix="0" xfId="0">
      <alignment horizontal="left" vertical="center"/>
    </xf>
    <xf numFmtId="165" fontId="9" fillId="6" borderId="2" applyAlignment="1" pivotButton="0" quotePrefix="0" xfId="0">
      <alignment horizontal="right" vertical="center"/>
    </xf>
    <xf numFmtId="166" fontId="8" fillId="5" borderId="1" applyAlignment="1" pivotButton="0" quotePrefix="0" xfId="0">
      <alignment horizontal="right" vertical="center"/>
    </xf>
    <xf numFmtId="0" fontId="7" fillId="0" borderId="0" applyAlignment="1" pivotButton="0" quotePrefix="0" xfId="0">
      <alignment horizontal="left" vertical="center" indent="1"/>
    </xf>
    <xf numFmtId="164" fontId="15" fillId="6" borderId="2" applyAlignment="1" pivotButton="0" quotePrefix="0" xfId="0">
      <alignment horizontal="right" vertical="center"/>
    </xf>
    <xf numFmtId="165" fontId="10" fillId="6" borderId="2" applyAlignment="1" pivotButton="0" quotePrefix="0" xfId="0">
      <alignment horizontal="right" vertical="center"/>
    </xf>
    <xf numFmtId="167" fontId="10" fillId="6" borderId="2" applyAlignment="1" pivotButton="0" quotePrefix="0" xfId="0">
      <alignment horizontal="right" vertical="center"/>
    </xf>
    <xf numFmtId="165" fontId="8" fillId="5" borderId="1" applyAlignment="1" pivotButton="0" quotePrefix="0" xfId="0">
      <alignment horizontal="right" vertical="center"/>
    </xf>
    <xf numFmtId="166" fontId="9" fillId="6" borderId="2" applyAlignment="1" pivotButton="0" quotePrefix="0" xfId="0">
      <alignment horizontal="right" vertical="center"/>
    </xf>
    <xf numFmtId="168" fontId="8" fillId="5" borderId="1" applyAlignment="1" pivotButton="0" quotePrefix="0" xfId="0">
      <alignment horizontal="right" vertical="center"/>
    </xf>
    <xf numFmtId="166" fontId="10" fillId="6" borderId="2" applyAlignment="1" pivotButton="0" quotePrefix="0" xfId="0">
      <alignment horizontal="right" vertical="center"/>
    </xf>
    <xf numFmtId="0" fontId="16" fillId="7" borderId="1" applyAlignment="1" pivotButton="0" quotePrefix="0" xfId="0">
      <alignment horizontal="center" vertical="center"/>
    </xf>
    <xf numFmtId="165" fontId="15" fillId="6" borderId="2" applyAlignment="1" pivotButton="0" quotePrefix="0" xfId="0">
      <alignment horizontal="right" vertical="center"/>
    </xf>
    <xf numFmtId="167" fontId="15" fillId="6" borderId="2" applyAlignment="1" pivotButton="0" quotePrefix="0" xfId="0">
      <alignment horizontal="right" vertical="center"/>
    </xf>
    <xf numFmtId="166" fontId="15" fillId="6" borderId="2" applyAlignment="1" pivotButton="0" quotePrefix="0" xfId="0">
      <alignment horizontal="right" vertical="center"/>
    </xf>
    <xf numFmtId="0" fontId="17" fillId="8" borderId="2" applyAlignment="1" pivotButton="0" quotePrefix="0" xfId="0">
      <alignment horizontal="center" vertical="center" wrapText="1"/>
    </xf>
    <xf numFmtId="0" fontId="16" fillId="0" borderId="1" applyAlignment="1" pivotButton="0" quotePrefix="0" xfId="0">
      <alignment horizontal="center" vertical="center"/>
    </xf>
    <xf numFmtId="165" fontId="8" fillId="0" borderId="1" applyAlignment="1" pivotButton="0" quotePrefix="0" xfId="0">
      <alignment horizontal="center" vertical="center"/>
    </xf>
    <xf numFmtId="167" fontId="8" fillId="0" borderId="1" applyAlignment="1" pivotButton="0" quotePrefix="0" xfId="0">
      <alignment horizontal="center" vertical="center"/>
    </xf>
    <xf numFmtId="166" fontId="8" fillId="0" borderId="1" applyAlignment="1" pivotButton="0" quotePrefix="0" xfId="0">
      <alignment horizontal="center" vertical="center"/>
    </xf>
    <xf numFmtId="0" fontId="11" fillId="0" borderId="0" applyAlignment="1" pivotButton="0" quotePrefix="0" xfId="0">
      <alignment horizontal="left" vertical="center" wrapText="1"/>
    </xf>
    <xf numFmtId="0" fontId="17" fillId="0" borderId="2" applyAlignment="1" pivotButton="0" quotePrefix="0" xfId="0">
      <alignment horizontal="left" vertical="center"/>
    </xf>
    <xf numFmtId="0" fontId="17" fillId="0" borderId="2" applyAlignment="1" pivotButton="0" quotePrefix="0" xfId="0">
      <alignment horizontal="center" vertical="center"/>
    </xf>
    <xf numFmtId="164" fontId="10" fillId="0" borderId="0" pivotButton="0" quotePrefix="0" xfId="0"/>
    <xf numFmtId="165" fontId="9" fillId="0" borderId="0" applyAlignment="1" pivotButton="0" quotePrefix="0" xfId="0">
      <alignment horizontal="center" vertical="center"/>
    </xf>
    <xf numFmtId="164" fontId="9" fillId="0" borderId="0" pivotButton="0" quotePrefix="0" xfId="0"/>
    <xf numFmtId="164" fontId="15" fillId="0" borderId="0" pivotButton="0" quotePrefix="0" xfId="0"/>
    <xf numFmtId="0" fontId="7" fillId="0" borderId="3" pivotButton="0" quotePrefix="0" xfId="0"/>
    <xf numFmtId="164" fontId="15" fillId="0" borderId="3" applyAlignment="1" pivotButton="0" quotePrefix="0" xfId="0">
      <alignment horizontal="right" vertical="center"/>
    </xf>
    <xf numFmtId="164" fontId="15" fillId="0" borderId="3" pivotButton="0" quotePrefix="0" xfId="0"/>
    <xf numFmtId="169" fontId="15" fillId="0" borderId="0" pivotButton="0" quotePrefix="0" xfId="0"/>
    <xf numFmtId="0" fontId="15" fillId="9" borderId="0" applyAlignment="1" pivotButton="0" quotePrefix="0" xfId="0">
      <alignment horizontal="center" vertical="center"/>
    </xf>
    <xf numFmtId="166" fontId="9" fillId="0" borderId="0" pivotButton="0" quotePrefix="0" xfId="0"/>
    <xf numFmtId="165" fontId="9" fillId="0" borderId="0" pivotButton="0" quotePrefix="0" xfId="0"/>
    <xf numFmtId="0" fontId="17" fillId="8" borderId="2" applyAlignment="1" pivotButton="0" quotePrefix="0" xfId="0">
      <alignment horizontal="center" vertical="center"/>
    </xf>
    <xf numFmtId="164" fontId="15" fillId="0" borderId="0" applyAlignment="1" pivotButton="0" quotePrefix="0" xfId="0">
      <alignment horizontal="right" vertical="center"/>
    </xf>
    <xf numFmtId="165" fontId="9" fillId="0" borderId="0" applyAlignment="1" pivotButton="0" quotePrefix="0" xfId="0">
      <alignment horizontal="right" vertical="center"/>
    </xf>
    <xf numFmtId="164" fontId="9" fillId="0" borderId="0" applyAlignment="1" pivotButton="0" quotePrefix="0" xfId="0">
      <alignment horizontal="right" vertical="center"/>
    </xf>
    <xf numFmtId="0" fontId="6" fillId="0" borderId="0" applyAlignment="1" pivotButton="0" quotePrefix="0" xfId="0">
      <alignment horizontal="left" vertical="center" indent="2"/>
    </xf>
    <xf numFmtId="164" fontId="15" fillId="0" borderId="4" applyAlignment="1" pivotButton="0" quotePrefix="0" xfId="0">
      <alignment horizontal="right" vertical="center"/>
    </xf>
    <xf numFmtId="166" fontId="9" fillId="0" borderId="0" applyAlignment="1" pivotButton="0" quotePrefix="0" xfId="0">
      <alignment horizontal="right" vertical="center"/>
    </xf>
    <xf numFmtId="168" fontId="9" fillId="6" borderId="2" applyAlignment="1" pivotButton="0" quotePrefix="0" xfId="0">
      <alignment horizontal="right" vertical="center"/>
    </xf>
    <xf numFmtId="164" fontId="10" fillId="6" borderId="2" applyAlignment="1" pivotButton="0" quotePrefix="0" xfId="0">
      <alignment horizontal="right" vertical="center"/>
    </xf>
    <xf numFmtId="164" fontId="9" fillId="6" borderId="2" applyAlignment="1" pivotButton="0" quotePrefix="0" xfId="0">
      <alignment horizontal="right" vertical="center"/>
    </xf>
    <xf numFmtId="168" fontId="10" fillId="6" borderId="2" applyAlignment="1" pivotButton="0" quotePrefix="0" xfId="0">
      <alignment horizontal="right" vertical="center"/>
    </xf>
    <xf numFmtId="170" fontId="15" fillId="6" borderId="2" applyAlignment="1" pivotButton="0" quotePrefix="0" xfId="0">
      <alignment horizontal="right" vertical="center"/>
    </xf>
    <xf numFmtId="165" fontId="15" fillId="0" borderId="3" pivotButton="0" quotePrefix="0" xfId="0"/>
    <xf numFmtId="0" fontId="17" fillId="8" borderId="1" applyAlignment="1" pivotButton="0" quotePrefix="0" xfId="0">
      <alignment horizontal="center" vertical="center" wrapText="1"/>
    </xf>
    <xf numFmtId="166" fontId="16" fillId="8" borderId="1" applyAlignment="1" pivotButton="0" quotePrefix="0" xfId="0">
      <alignment horizontal="center" vertical="center"/>
    </xf>
    <xf numFmtId="166" fontId="16" fillId="5" borderId="1" applyAlignment="1" pivotButton="0" quotePrefix="0" xfId="0">
      <alignment horizontal="center" vertical="center"/>
    </xf>
    <xf numFmtId="165" fontId="9" fillId="0" borderId="1" applyAlignment="1" pivotButton="0" quotePrefix="0" xfId="0">
      <alignment horizontal="center" vertical="center"/>
    </xf>
    <xf numFmtId="165" fontId="16" fillId="8" borderId="1" applyAlignment="1" pivotButton="0" quotePrefix="0" xfId="0">
      <alignment horizontal="center" vertical="center"/>
    </xf>
    <xf numFmtId="170" fontId="9" fillId="0" borderId="1" applyAlignment="1" pivotButton="0" quotePrefix="0" xfId="0">
      <alignment horizontal="center" vertical="center"/>
    </xf>
    <xf numFmtId="0" fontId="18" fillId="7" borderId="0" applyAlignment="1" pivotButton="0" quotePrefix="0" xfId="0">
      <alignment horizontal="left" vertical="center" indent="1"/>
    </xf>
    <xf numFmtId="0" fontId="19" fillId="8" borderId="1" applyAlignment="1" pivotButton="0" quotePrefix="0" xfId="0">
      <alignment horizontal="center" vertical="center"/>
    </xf>
    <xf numFmtId="0" fontId="0" fillId="0" borderId="1" pivotButton="0" quotePrefix="0" xfId="0"/>
    <xf numFmtId="165" fontId="20" fillId="5" borderId="1" applyAlignment="1" pivotButton="0" quotePrefix="0" xfId="0">
      <alignment horizontal="center" vertical="center"/>
    </xf>
    <xf numFmtId="170" fontId="20" fillId="5" borderId="1" applyAlignment="1" pivotButton="0" quotePrefix="0" xfId="0">
      <alignment horizontal="center" vertical="center"/>
    </xf>
    <xf numFmtId="171" fontId="20" fillId="5" borderId="1" applyAlignment="1" pivotButton="0" quotePrefix="0" xfId="0">
      <alignment horizontal="center" vertical="center"/>
    </xf>
    <xf numFmtId="49" fontId="9" fillId="6" borderId="2" applyAlignment="1" pivotButton="0" quotePrefix="0" xfId="0">
      <alignment horizontal="right" vertical="center"/>
    </xf>
    <xf numFmtId="165" fontId="10" fillId="0" borderId="0" applyAlignment="1" pivotButton="0" quotePrefix="0" xfId="0">
      <alignment horizontal="right" vertical="center"/>
    </xf>
    <xf numFmtId="167" fontId="10" fillId="0" borderId="0" applyAlignment="1" pivotButton="0" quotePrefix="0" xfId="0">
      <alignment horizontal="right" vertical="center"/>
    </xf>
    <xf numFmtId="0" fontId="10" fillId="7" borderId="1" applyAlignment="1" pivotButton="0" quotePrefix="0" xfId="0">
      <alignment horizontal="center" vertical="center"/>
    </xf>
    <xf numFmtId="0" fontId="17" fillId="0" borderId="2" pivotButton="0" quotePrefix="0" xfId="0"/>
    <xf numFmtId="169" fontId="9" fillId="0" borderId="0" applyAlignment="1" pivotButton="0" quotePrefix="0" xfId="0">
      <alignment horizontal="right" vertical="center"/>
    </xf>
    <xf numFmtId="0" fontId="15" fillId="0" borderId="0" applyAlignment="1" pivotButton="0" quotePrefix="0" xfId="0">
      <alignment horizontal="center" vertical="center"/>
    </xf>
    <xf numFmtId="3" fontId="9" fillId="0" borderId="0" applyAlignment="1" pivotButton="0" quotePrefix="0" xfId="0">
      <alignment horizontal="right" vertical="center"/>
    </xf>
    <xf numFmtId="170" fontId="9" fillId="0" borderId="0" applyAlignment="1" pivotButton="0" quotePrefix="0" xfId="0">
      <alignment horizontal="right" vertical="center"/>
    </xf>
    <xf numFmtId="0" fontId="6" fillId="0" borderId="0" applyAlignment="1" pivotButton="0" quotePrefix="0" xfId="0">
      <alignment horizontal="left" vertical="top" wrapText="1"/>
    </xf>
    <xf numFmtId="0" fontId="21" fillId="0" borderId="0" applyAlignment="1" pivotButton="0" quotePrefix="0" xfId="0">
      <alignment horizontal="left" vertical="center" wrapText="1"/>
    </xf>
  </cellXfs>
  <cellStyles count="1">
    <cellStyle name="Normal" xfId="0" builtinId="0" hidden="0"/>
  </cellStyles>
  <dxfs count="3">
    <dxf>
      <font>
        <b val="1"/>
        <color rgb="009C2B2B"/>
      </font>
      <fill>
        <patternFill patternType="solid">
          <fgColor rgb="00FBE3E3"/>
        </patternFill>
      </fill>
    </dxf>
    <dxf>
      <font>
        <b val="1"/>
        <color rgb="001E7145"/>
      </font>
      <fill>
        <patternFill patternType="solid">
          <fgColor rgb="00E2F0E5"/>
        </patternFill>
      </fill>
    </dxf>
    <dxf>
      <font>
        <b val="1"/>
        <color rgb="008A6D00"/>
      </font>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A2:H33"/>
  <sheetViews>
    <sheetView showGridLines="0" tabSelected="1" zoomScale="100" workbookViewId="0">
      <selection activeCell="A1" sqref="A1"/>
    </sheetView>
  </sheetViews>
  <sheetFormatPr baseColWidth="8" defaultRowHeight="15" outlineLevelCol="0"/>
  <cols>
    <col width="4"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ht="8" customHeight="1"/>
    <row r="2">
      <c r="A2" s="1" t="n"/>
      <c r="B2" s="1" t="n"/>
      <c r="C2" s="1" t="n"/>
      <c r="D2" s="1" t="n"/>
      <c r="E2" s="1" t="n"/>
      <c r="F2" s="1" t="n"/>
      <c r="G2" s="1" t="n"/>
      <c r="H2" s="1" t="n"/>
    </row>
    <row r="3">
      <c r="A3" s="1" t="n"/>
      <c r="B3" s="2" t="inlineStr">
        <is>
          <t>LBO &amp; ACQUISITION ANALYSIS MODEL</t>
        </is>
      </c>
      <c r="H3" s="1" t="n"/>
    </row>
    <row r="4">
      <c r="A4" s="1" t="n"/>
      <c r="B4" s="3" t="inlineStr">
        <is>
          <t>A Leveraged Buyout Case Study — Transaction Structuring, Debt Financing &amp; Private-Equity Returns Analysis</t>
        </is>
      </c>
      <c r="H4" s="1" t="n"/>
    </row>
    <row r="5">
      <c r="A5" s="1" t="n"/>
      <c r="B5" s="1" t="n"/>
      <c r="C5" s="1" t="n"/>
      <c r="D5" s="1" t="n"/>
      <c r="E5" s="1" t="n"/>
      <c r="F5" s="1" t="n"/>
      <c r="G5" s="1" t="n"/>
      <c r="H5" s="1" t="n"/>
    </row>
    <row r="6">
      <c r="A6" s="1" t="n"/>
      <c r="B6" s="4" t="inlineStr">
        <is>
          <t>HYPOTHETICAL CASE STUDY — NOT A REAL COMPANY OR TRANSACTION</t>
        </is>
      </c>
      <c r="H6" s="1" t="n"/>
    </row>
    <row r="7">
      <c r="A7" s="1" t="n"/>
      <c r="B7" s="1" t="n"/>
      <c r="C7" s="1" t="n"/>
      <c r="D7" s="1" t="n"/>
      <c r="E7" s="1" t="n"/>
      <c r="F7" s="1" t="n"/>
      <c r="G7" s="1" t="n"/>
      <c r="H7" s="1" t="n"/>
    </row>
    <row r="8">
      <c r="A8" s="1" t="n"/>
      <c r="B8" s="5" t="inlineStr">
        <is>
          <t>Independent financial modeling project  |  Prepared for portfolio / interview purposes</t>
        </is>
      </c>
      <c r="H8" s="1" t="n"/>
    </row>
    <row r="9">
      <c r="A9" s="1" t="n"/>
      <c r="B9" s="1" t="n"/>
      <c r="C9" s="1" t="n"/>
      <c r="D9" s="1" t="n"/>
      <c r="E9" s="1" t="n"/>
      <c r="F9" s="1" t="n"/>
      <c r="G9" s="1" t="n"/>
      <c r="H9" s="1" t="n"/>
    </row>
    <row r="12">
      <c r="B12" s="6" t="inlineStr">
        <is>
          <t>Contents</t>
        </is>
      </c>
    </row>
    <row r="13">
      <c r="B13" s="7" t="inlineStr">
        <is>
          <t>1.  Executive Summary — transaction dashboard &amp; key outputs</t>
        </is>
      </c>
    </row>
    <row r="14">
      <c r="B14" s="7" t="inlineStr">
        <is>
          <t>2.  Transaction Assumptions — entry, operating, financing &amp; exit inputs</t>
        </is>
      </c>
    </row>
    <row r="15">
      <c r="B15" s="7" t="inlineStr">
        <is>
          <t>3.  Sources &amp; Uses — financing plan and funding check</t>
        </is>
      </c>
    </row>
    <row r="16">
      <c r="B16" s="7" t="inlineStr">
        <is>
          <t>4.  Operating Model — 5-year revenue-to-free-cash-flow forecast</t>
        </is>
      </c>
    </row>
    <row r="17">
      <c r="B17" s="7" t="inlineStr">
        <is>
          <t>5.  Debt Schedule — amortization, cash sweep &amp; leverage</t>
        </is>
      </c>
    </row>
    <row r="18">
      <c r="B18" s="7" t="inlineStr">
        <is>
          <t>6.  Exit Analysis — exit valuation and equity proceeds</t>
        </is>
      </c>
    </row>
    <row r="19">
      <c r="B19" s="7" t="inlineStr">
        <is>
          <t>7.  Investor Returns — MOIC and IRR</t>
        </is>
      </c>
    </row>
    <row r="20">
      <c r="B20" s="7" t="inlineStr">
        <is>
          <t>8.  Sensitivity Analysis — four two-way sensitivity grids</t>
        </is>
      </c>
    </row>
    <row r="21">
      <c r="B21" s="7" t="inlineStr">
        <is>
          <t>9.  Scenario Analysis — Base / Upside / Downside toggle</t>
        </is>
      </c>
    </row>
    <row r="22">
      <c r="B22" s="7" t="inlineStr">
        <is>
          <t>10. Model Checks — automated integrity checks</t>
        </is>
      </c>
    </row>
    <row r="23">
      <c r="B23" s="7" t="inlineStr">
        <is>
          <t>11. Sources &amp; Methodology — assumptions, definitions, attribution</t>
        </is>
      </c>
    </row>
    <row r="25">
      <c r="B25" s="8" t="inlineStr">
        <is>
          <t>Formatting convention</t>
        </is>
      </c>
    </row>
    <row r="26">
      <c r="B26" s="9" t="inlineStr">
        <is>
          <t>Blue text = hard-coded input</t>
        </is>
      </c>
    </row>
    <row r="27">
      <c r="B27" s="10" t="inlineStr">
        <is>
          <t>Black text = calculated formula</t>
        </is>
      </c>
    </row>
    <row r="28">
      <c r="B28" s="11" t="inlineStr">
        <is>
          <t>Teal italic = link pulled from another tab</t>
        </is>
      </c>
    </row>
    <row r="29">
      <c r="B29" s="12" t="inlineStr">
        <is>
          <t>Negative values shown in (parentheses); $ in millions unless noted</t>
        </is>
      </c>
    </row>
    <row r="32">
      <c r="B32" s="12" t="inlineStr">
        <is>
          <t>Prepared: September 2026</t>
        </is>
      </c>
    </row>
    <row r="33">
      <c r="B33" s="12" t="inlineStr">
        <is>
          <t>Original open-source framework: see 'Sources &amp; Methodology' tab for attribution &amp; license.</t>
        </is>
      </c>
    </row>
  </sheetData>
  <mergeCells count="4">
    <mergeCell ref="B3:G3"/>
    <mergeCell ref="B8:G8"/>
    <mergeCell ref="B4:G4"/>
    <mergeCell ref="B6:G6"/>
  </mergeCells>
  <printOptions horizontalCentered="0"/>
  <pageMargins left="0.75" right="0.75" top="1" bottom="1" header="0.5" footer="0.5"/>
  <pageSetup orientation="landscape" fitToHeight="0" fitToWidth="1"/>
</worksheet>
</file>

<file path=xl/worksheets/sheet2.xml><?xml version="1.0" encoding="utf-8"?>
<worksheet xmlns="http://schemas.openxmlformats.org/spreadsheetml/2006/main">
  <sheetPr>
    <tabColor rgb="001F3864"/>
    <outlinePr summaryBelow="1" summaryRight="1"/>
    <pageSetUpPr fitToPage="1"/>
  </sheetPr>
  <dimension ref="A1:I26"/>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30" customWidth="1" min="2" max="2"/>
    <col width="2" customWidth="1" min="3" max="3"/>
    <col width="16" customWidth="1" min="4" max="4"/>
    <col width="6" customWidth="1" min="5" max="5"/>
    <col width="30" customWidth="1" min="6" max="6"/>
    <col width="2" customWidth="1" min="7" max="7"/>
    <col width="16" customWidth="1" min="8" max="8"/>
  </cols>
  <sheetData>
    <row r="1" ht="30" customHeight="1">
      <c r="A1" s="13" t="inlineStr">
        <is>
          <t>EXECUTIVE SUMMARY</t>
        </is>
      </c>
    </row>
    <row r="2" ht="16" customHeight="1">
      <c r="A2" s="14" t="inlineStr">
        <is>
          <t>LBO &amp; Acquisition Analysis — Summit Industrial Holdings, Inc. (Hypothetical Case Study)  |  $ in millions unless noted</t>
        </is>
      </c>
    </row>
    <row r="4" ht="16" customHeight="1">
      <c r="B4" s="71" t="inlineStr">
        <is>
          <t>HYPOTHETICAL CASE STUDY — illustrative company and figures for portfolio demonstration purposes; not a real transaction.</t>
        </is>
      </c>
    </row>
    <row r="6" ht="16" customHeight="1">
      <c r="B6" s="72" t="inlineStr">
        <is>
          <t>SPONSOR IRR</t>
        </is>
      </c>
      <c r="C6" s="73" t="n"/>
      <c r="D6" s="72" t="inlineStr">
        <is>
          <t>MOIC</t>
        </is>
      </c>
      <c r="E6" s="73" t="n"/>
      <c r="F6" s="72" t="inlineStr">
        <is>
          <t>SPONSOR EQUITY INVESTED</t>
        </is>
      </c>
      <c r="G6" s="73" t="n"/>
      <c r="H6" s="72" t="inlineStr">
        <is>
          <t>SPONSOR PROCEEDS AT EXIT</t>
        </is>
      </c>
      <c r="I6" s="73" t="n"/>
    </row>
    <row r="7" ht="30" customHeight="1">
      <c r="B7" s="74">
        <f>'Investor Returns'!$D$11</f>
        <v/>
      </c>
      <c r="C7" s="73" t="n"/>
      <c r="D7" s="75">
        <f>'Investor Returns'!$D$10</f>
        <v/>
      </c>
      <c r="E7" s="73" t="n"/>
      <c r="F7" s="76">
        <f>'Investor Returns'!$D$5</f>
        <v/>
      </c>
      <c r="G7" s="73" t="n"/>
      <c r="H7" s="76">
        <f>'Investor Returns'!$D$6</f>
        <v/>
      </c>
      <c r="I7" s="73" t="n"/>
    </row>
    <row r="9" ht="18" customHeight="1">
      <c r="B9" s="15" t="inlineStr">
        <is>
          <t>Transaction Snapshot</t>
        </is>
      </c>
    </row>
    <row r="10">
      <c r="B10" s="16" t="inlineStr">
        <is>
          <t>Target Company</t>
        </is>
      </c>
      <c r="D10" s="77" t="inlineStr">
        <is>
          <t>Summit Industrial Holdings, Inc.*</t>
        </is>
      </c>
      <c r="F10" s="16" t="inlineStr">
        <is>
          <t>Holding Period</t>
        </is>
      </c>
      <c r="H10" s="59">
        <f>Assumptions!$D$36</f>
        <v/>
      </c>
    </row>
    <row r="11">
      <c r="B11" s="16" t="inlineStr">
        <is>
          <t>Entry Enterprise Value</t>
        </is>
      </c>
      <c r="D11" s="61">
        <f>Assumptions!$D$9</f>
        <v/>
      </c>
      <c r="F11" s="16" t="inlineStr">
        <is>
          <t>Exit Enterprise Value</t>
        </is>
      </c>
      <c r="H11" s="61">
        <f>'Exit Analysis'!$D$8</f>
        <v/>
      </c>
    </row>
    <row r="12">
      <c r="B12" s="16" t="inlineStr">
        <is>
          <t>Entry EBITDA (LTM)</t>
        </is>
      </c>
      <c r="D12" s="61">
        <f>Assumptions!$D$6</f>
        <v/>
      </c>
      <c r="F12" s="16" t="inlineStr">
        <is>
          <t>Exit EBITDA (Year 5)</t>
        </is>
      </c>
      <c r="H12" s="61">
        <f>'Exit Analysis'!$D$6</f>
        <v/>
      </c>
    </row>
    <row r="13">
      <c r="B13" s="16" t="inlineStr">
        <is>
          <t>Entry EV / EBITDA</t>
        </is>
      </c>
      <c r="D13" s="26">
        <f>Assumptions!$D$8</f>
        <v/>
      </c>
      <c r="F13" s="16" t="inlineStr">
        <is>
          <t>Exit EV / EBITDA</t>
        </is>
      </c>
      <c r="H13" s="26">
        <f>'Exit Analysis'!$D$7</f>
        <v/>
      </c>
    </row>
    <row r="14">
      <c r="B14" s="16" t="inlineStr">
        <is>
          <t>Total Debt Financing</t>
        </is>
      </c>
      <c r="D14" s="61">
        <f>Assumptions!$D$29</f>
        <v/>
      </c>
      <c r="F14" s="16" t="inlineStr">
        <is>
          <t>Sponsor Proceeds at Exit</t>
        </is>
      </c>
      <c r="H14" s="61">
        <f>'Exit Analysis'!$D$17</f>
        <v/>
      </c>
    </row>
    <row r="15">
      <c r="B15" s="16" t="inlineStr">
        <is>
          <t>Sponsor Equity</t>
        </is>
      </c>
      <c r="D15" s="61">
        <f>'Sources &amp; Uses'!$D$9</f>
        <v/>
      </c>
      <c r="F15" s="21" t="inlineStr">
        <is>
          <t>MOIC</t>
        </is>
      </c>
      <c r="H15" s="63">
        <f>'Investor Returns'!$D$10</f>
        <v/>
      </c>
    </row>
    <row r="16">
      <c r="B16" s="16" t="inlineStr">
        <is>
          <t>Entry Leverage (Debt / EBITDA)</t>
        </is>
      </c>
      <c r="D16" s="26">
        <f>Assumptions!$D$30</f>
        <v/>
      </c>
      <c r="F16" s="21" t="inlineStr">
        <is>
          <t>IRR</t>
        </is>
      </c>
      <c r="H16" s="30">
        <f>'Investor Returns'!$D$11</f>
        <v/>
      </c>
    </row>
    <row r="18" ht="18" customHeight="1">
      <c r="B18" s="15" t="inlineStr">
        <is>
          <t>Key Transaction Assumptions</t>
        </is>
      </c>
    </row>
    <row r="19">
      <c r="B19" s="7" t="inlineStr">
        <is>
          <t>Revenue Growth Rate (p.a.)</t>
        </is>
      </c>
      <c r="D19" s="78">
        <f>Assumptions!$D$14</f>
        <v/>
      </c>
      <c r="F19" s="7" t="inlineStr">
        <is>
          <t>Senior Term Loan Rate</t>
        </is>
      </c>
      <c r="H19" s="78">
        <f>Assumptions!$D$24</f>
        <v/>
      </c>
    </row>
    <row r="20">
      <c r="B20" s="7" t="inlineStr">
        <is>
          <t>EBITDA Margin Expansion (bps/yr)</t>
        </is>
      </c>
      <c r="D20" s="79">
        <f>Assumptions!$D$15</f>
        <v/>
      </c>
      <c r="F20" s="7" t="inlineStr">
        <is>
          <t>Subordinated Notes Rate</t>
        </is>
      </c>
      <c r="H20" s="78">
        <f>Assumptions!$D$28</f>
        <v/>
      </c>
    </row>
    <row r="21">
      <c r="B21" s="7" t="inlineStr">
        <is>
          <t>Cash Tax Rate</t>
        </is>
      </c>
      <c r="D21" s="78">
        <f>Assumptions!$D$19</f>
        <v/>
      </c>
      <c r="F21" s="7" t="inlineStr">
        <is>
          <t>Cash Sweep %</t>
        </is>
      </c>
      <c r="H21" s="78">
        <f>Assumptions!$D$26</f>
        <v/>
      </c>
    </row>
    <row r="23" ht="18" customHeight="1">
      <c r="B23" s="15" t="inlineStr">
        <is>
          <t>Active Scenario</t>
        </is>
      </c>
    </row>
    <row r="24">
      <c r="B24" s="8" t="inlineStr">
        <is>
          <t>Selected Scenario</t>
        </is>
      </c>
      <c r="D24" s="80">
        <f>Scenario!$D$5</f>
        <v/>
      </c>
      <c r="F24" s="12" t="inlineStr">
        <is>
          <t>Change on the 'Scenario' tab to flex Base / Upside / Downside cases</t>
        </is>
      </c>
    </row>
    <row r="26">
      <c r="B26" s="12" t="inlineStr">
        <is>
          <t>*Hypothetical company created for this case study; see 'Sources &amp; Methodology' for full disclosure and original-framework attribution.</t>
        </is>
      </c>
    </row>
  </sheetData>
  <mergeCells count="15">
    <mergeCell ref="D6:E6"/>
    <mergeCell ref="B6:C6"/>
    <mergeCell ref="D7:E7"/>
    <mergeCell ref="B7:C7"/>
    <mergeCell ref="H6:I6"/>
    <mergeCell ref="B9:H9"/>
    <mergeCell ref="B18:H18"/>
    <mergeCell ref="B4:H4"/>
    <mergeCell ref="A2:H2"/>
    <mergeCell ref="H7:I7"/>
    <mergeCell ref="F24:H24"/>
    <mergeCell ref="F6:G6"/>
    <mergeCell ref="A1:H1"/>
    <mergeCell ref="F7:G7"/>
    <mergeCell ref="B23:H23"/>
  </mergeCells>
  <printOptions horizontalCentered="0"/>
  <pageMargins left="0.75" right="0.75" top="1" bottom="1" header="0.5" footer="0.5"/>
  <pageSetup orientation="landscape" fitToHeight="0" fitToWidth="1"/>
</worksheet>
</file>

<file path=xl/worksheets/sheet3.xml><?xml version="1.0" encoding="utf-8"?>
<worksheet xmlns="http://schemas.openxmlformats.org/spreadsheetml/2006/main">
  <sheetPr>
    <tabColor rgb="001F3864"/>
    <outlinePr summaryBelow="1" summaryRight="1"/>
    <pageSetUpPr fitToPage="1"/>
  </sheetPr>
  <dimension ref="A1:E42"/>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42" customWidth="1" min="2" max="2"/>
    <col width="2" customWidth="1" min="3" max="3"/>
    <col width="15" customWidth="1" min="4" max="4"/>
    <col width="34" customWidth="1" min="5" max="5"/>
    <col width="2" customWidth="1" min="6" max="6"/>
  </cols>
  <sheetData>
    <row r="1" ht="30" customHeight="1">
      <c r="A1" s="13" t="inlineStr">
        <is>
          <t>TRANSACTION ASSUMPTIONS</t>
        </is>
      </c>
    </row>
    <row r="2" ht="16" customHeight="1">
      <c r="A2" s="14" t="inlineStr">
        <is>
          <t>All blue cells are editable inputs  |  $ in millions unless noted  |  Case-study company: Summit Industrial Holdings, Inc. (hypothetical)</t>
        </is>
      </c>
    </row>
    <row r="4" ht="18" customHeight="1">
      <c r="B4" s="15" t="inlineStr">
        <is>
          <t>Target Company &amp; Entry Valuation</t>
        </is>
      </c>
    </row>
    <row r="5">
      <c r="B5" s="16" t="inlineStr">
        <is>
          <t>LTM Revenue</t>
        </is>
      </c>
      <c r="D5" s="17" t="n">
        <v>400</v>
      </c>
      <c r="E5" s="18" t="inlineStr">
        <is>
          <t>Hypothetical LTM (last-twelve-month) revenue</t>
        </is>
      </c>
    </row>
    <row r="6">
      <c r="B6" s="16" t="inlineStr">
        <is>
          <t>LTM EBITDA</t>
        </is>
      </c>
      <c r="D6" s="17" t="n">
        <v>100</v>
      </c>
      <c r="E6" s="18" t="inlineStr">
        <is>
          <t>Illustrative figure consistent with source README example</t>
        </is>
      </c>
    </row>
    <row r="7">
      <c r="B7" s="16" t="inlineStr">
        <is>
          <t>LTM EBITDA Margin</t>
        </is>
      </c>
      <c r="D7" s="19">
        <f>Assumptions!$D$6/Assumptions!$D$5</f>
        <v/>
      </c>
    </row>
    <row r="8">
      <c r="B8" s="16" t="inlineStr">
        <is>
          <t>Entry EV / EBITDA Multiple</t>
        </is>
      </c>
      <c r="D8" s="20" t="n">
        <v>10</v>
      </c>
      <c r="E8" s="18" t="inlineStr">
        <is>
          <t>Purchase price multiple applied to LTM EBITDA</t>
        </is>
      </c>
    </row>
    <row r="9">
      <c r="B9" s="21" t="inlineStr">
        <is>
          <t>Entry Enterprise Value</t>
        </is>
      </c>
      <c r="D9" s="22">
        <f>Assumptions!$D$6*Assumptions!$D$8</f>
        <v/>
      </c>
    </row>
    <row r="10">
      <c r="B10" s="16" t="inlineStr">
        <is>
          <t>Less: Existing Net Debt (Refinanced at Close)</t>
        </is>
      </c>
      <c r="D10" s="17" t="n">
        <v>200</v>
      </c>
    </row>
    <row r="11">
      <c r="B11" s="21" t="inlineStr">
        <is>
          <t>Implied Equity Purchase Price</t>
        </is>
      </c>
      <c r="D11" s="22">
        <f>Assumptions!$D$9-Assumptions!$D$10</f>
        <v/>
      </c>
    </row>
    <row r="13" ht="18" customHeight="1">
      <c r="B13" s="15" t="inlineStr">
        <is>
          <t>Operating Assumptions (Base Case; scenario-driven cells marked †)</t>
        </is>
      </c>
    </row>
    <row r="14">
      <c r="B14" s="16" t="inlineStr">
        <is>
          <t>Revenue Growth Rate (p.a.) †</t>
        </is>
      </c>
      <c r="D14" s="23">
        <f>Scenario!$D$6</f>
        <v/>
      </c>
      <c r="E14" s="18" t="inlineStr">
        <is>
          <t>Driven by Scenario Analysis selector</t>
        </is>
      </c>
    </row>
    <row r="15">
      <c r="B15" s="16" t="inlineStr">
        <is>
          <t>Annual EBITDA Margin Expansion (bps) †</t>
        </is>
      </c>
      <c r="D15" s="24">
        <f>Scenario!$D$7</f>
        <v/>
      </c>
      <c r="E15" s="18" t="inlineStr">
        <is>
          <t>Driven by Scenario Analysis selector</t>
        </is>
      </c>
    </row>
    <row r="16">
      <c r="B16" s="16" t="inlineStr">
        <is>
          <t>D&amp;A (% of Revenue)</t>
        </is>
      </c>
      <c r="D16" s="25" t="n">
        <v>0.025</v>
      </c>
    </row>
    <row r="17">
      <c r="B17" s="16" t="inlineStr">
        <is>
          <t>Capital Expenditures (% of Revenue)</t>
        </is>
      </c>
      <c r="D17" s="25" t="n">
        <v>0.03</v>
      </c>
    </row>
    <row r="18">
      <c r="B18" s="16" t="inlineStr">
        <is>
          <t>Incremental NWC (% of Δ Revenue)</t>
        </is>
      </c>
      <c r="D18" s="25" t="n">
        <v>0.02</v>
      </c>
    </row>
    <row r="19">
      <c r="B19" s="16" t="inlineStr">
        <is>
          <t>Cash Tax Rate</t>
        </is>
      </c>
      <c r="D19" s="25" t="n">
        <v>0.25</v>
      </c>
    </row>
    <row r="20">
      <c r="B20" s="16" t="inlineStr">
        <is>
          <t>Minimum Cash Balance</t>
        </is>
      </c>
      <c r="D20" s="17" t="n">
        <v>20</v>
      </c>
    </row>
    <row r="22" ht="18" customHeight="1">
      <c r="B22" s="15" t="inlineStr">
        <is>
          <t>Debt Financing Assumptions</t>
        </is>
      </c>
    </row>
    <row r="23">
      <c r="B23" s="16" t="inlineStr">
        <is>
          <t>Senior Term Loan (at Close)</t>
        </is>
      </c>
      <c r="D23" s="17" t="n">
        <v>500</v>
      </c>
    </row>
    <row r="24">
      <c r="B24" s="16" t="inlineStr">
        <is>
          <t>Senior Term Loan Interest Rate †</t>
        </is>
      </c>
      <c r="D24" s="23">
        <f>Scenario!$D$9</f>
        <v/>
      </c>
    </row>
    <row r="25">
      <c r="B25" s="16" t="inlineStr">
        <is>
          <t>Senior Mandatory Amortization (% of orig., p.a.)</t>
        </is>
      </c>
      <c r="D25" s="25" t="n">
        <v>0.01</v>
      </c>
    </row>
    <row r="26">
      <c r="B26" s="16" t="inlineStr">
        <is>
          <t>Cash Sweep (% of Excess CFADS to Debt Paydown)</t>
        </is>
      </c>
      <c r="D26" s="25" t="n">
        <v>0.75</v>
      </c>
    </row>
    <row r="27">
      <c r="B27" s="16" t="inlineStr">
        <is>
          <t>Subordinated / Mezzanine Notes (at Close)</t>
        </is>
      </c>
      <c r="D27" s="17" t="n">
        <v>200</v>
      </c>
    </row>
    <row r="28">
      <c r="B28" s="16" t="inlineStr">
        <is>
          <t>Subordinated Notes Interest Rate †</t>
        </is>
      </c>
      <c r="D28" s="23">
        <f>Scenario!$D$10</f>
        <v/>
      </c>
    </row>
    <row r="29">
      <c r="B29" s="21" t="inlineStr">
        <is>
          <t>Total New Debt at Close</t>
        </is>
      </c>
      <c r="D29" s="22">
        <f>Assumptions!$D$23+Assumptions!$D$27</f>
        <v/>
      </c>
    </row>
    <row r="30">
      <c r="B30" s="16" t="inlineStr">
        <is>
          <t>Entry Leverage (Total Debt / LTM EBITDA)</t>
        </is>
      </c>
      <c r="D30" s="26">
        <f>Assumptions!$D$29/Assumptions!$D$6</f>
        <v/>
      </c>
    </row>
    <row r="31">
      <c r="B31" s="16" t="inlineStr">
        <is>
          <t>Transaction Fees (% of Enterprise Value)</t>
        </is>
      </c>
      <c r="D31" s="25" t="n">
        <v>0.025</v>
      </c>
    </row>
    <row r="32">
      <c r="B32" s="16" t="inlineStr">
        <is>
          <t>Financing Fees (% of New Debt)</t>
        </is>
      </c>
      <c r="D32" s="25" t="n">
        <v>0.015</v>
      </c>
    </row>
    <row r="33">
      <c r="B33" s="16" t="inlineStr">
        <is>
          <t>Management Rollover Equity</t>
        </is>
      </c>
      <c r="D33" s="17" t="n">
        <v>0</v>
      </c>
      <c r="E33" s="18" t="inlineStr">
        <is>
          <t>Set &gt; 0 to model management co-invest / rollover</t>
        </is>
      </c>
    </row>
    <row r="35" ht="18" customHeight="1">
      <c r="B35" s="15" t="inlineStr">
        <is>
          <t>Exit Assumptions</t>
        </is>
      </c>
    </row>
    <row r="36">
      <c r="B36" s="16" t="inlineStr">
        <is>
          <t>Holding Period (Years)</t>
        </is>
      </c>
      <c r="D36" s="27" t="n">
        <v>5</v>
      </c>
    </row>
    <row r="37">
      <c r="B37" s="16" t="inlineStr">
        <is>
          <t>Exit EV / EBITDA Multiple †</t>
        </is>
      </c>
      <c r="D37" s="28">
        <f>Scenario!$D$8</f>
        <v/>
      </c>
    </row>
    <row r="38">
      <c r="B38" s="16" t="inlineStr">
        <is>
          <t>Estimated Exit / Sale Fees (% of Exit EV)</t>
        </is>
      </c>
      <c r="D38" s="25" t="n">
        <v>0.01</v>
      </c>
    </row>
    <row r="41">
      <c r="B41" s="12" t="inlineStr">
        <is>
          <t>Blue = hard-coded input (editable)     Black = calculated formula     Teal = link to another sheet</t>
        </is>
      </c>
    </row>
    <row r="42">
      <c r="B42" s="12" t="inlineStr">
        <is>
          <t>† Denotes an assumption driven by the scenario selector on the 'Scenario' tab (Base / Upside / Downside).</t>
        </is>
      </c>
    </row>
  </sheetData>
  <mergeCells count="6">
    <mergeCell ref="B35:E35"/>
    <mergeCell ref="B4:E4"/>
    <mergeCell ref="A2:E2"/>
    <mergeCell ref="B13:E13"/>
    <mergeCell ref="A1:E1"/>
    <mergeCell ref="B22:E22"/>
  </mergeCells>
  <printOptions horizontalCentered="0"/>
  <pageMargins left="0.75" right="0.75" top="1" bottom="1" header="0.5" footer="0.5"/>
  <pageSetup orientation="landscape" fitToHeight="0" fitToWidth="1"/>
</worksheet>
</file>

<file path=xl/worksheets/sheet4.xml><?xml version="1.0" encoding="utf-8"?>
<worksheet xmlns="http://schemas.openxmlformats.org/spreadsheetml/2006/main">
  <sheetPr>
    <tabColor rgb="001F3864"/>
    <outlinePr summaryBelow="1" summaryRight="1"/>
    <pageSetUpPr fitToPage="1"/>
  </sheetPr>
  <dimension ref="A1:J19"/>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34" customWidth="1" min="2" max="2"/>
    <col width="2" customWidth="1" min="3" max="3"/>
    <col width="14" customWidth="1" min="4" max="4"/>
    <col width="12" customWidth="1" min="5" max="5"/>
    <col width="3" customWidth="1" min="6" max="6"/>
    <col width="34" customWidth="1" min="7" max="7"/>
    <col width="2" customWidth="1" min="8" max="8"/>
    <col width="14" customWidth="1" min="9" max="9"/>
    <col width="12" customWidth="1" min="10" max="10"/>
  </cols>
  <sheetData>
    <row r="1" ht="30" customHeight="1">
      <c r="A1" s="13" t="inlineStr">
        <is>
          <t>SOURCES &amp; USES OF FUNDS</t>
        </is>
      </c>
    </row>
    <row r="2" ht="16" customHeight="1">
      <c r="A2" s="14" t="inlineStr">
        <is>
          <t>Financing plan at transaction close  |  $ in millions  |  Sponsor equity is solved as the balancing plug</t>
        </is>
      </c>
    </row>
    <row r="4" ht="18" customHeight="1">
      <c r="B4" s="15" t="inlineStr">
        <is>
          <t>Sources</t>
        </is>
      </c>
      <c r="G4" s="15" t="inlineStr">
        <is>
          <t>Uses</t>
        </is>
      </c>
    </row>
    <row r="5">
      <c r="B5" s="39" t="inlineStr">
        <is>
          <t>Item</t>
        </is>
      </c>
      <c r="D5" s="40" t="inlineStr">
        <is>
          <t>$MM</t>
        </is>
      </c>
      <c r="E5" s="40" t="inlineStr">
        <is>
          <t>% Total</t>
        </is>
      </c>
      <c r="G5" s="39" t="inlineStr">
        <is>
          <t>Item</t>
        </is>
      </c>
      <c r="I5" s="40" t="inlineStr">
        <is>
          <t>$MM</t>
        </is>
      </c>
      <c r="J5" s="40" t="inlineStr">
        <is>
          <t>% Total</t>
        </is>
      </c>
    </row>
    <row r="6">
      <c r="B6" s="7" t="inlineStr">
        <is>
          <t>Senior Term Loan</t>
        </is>
      </c>
      <c r="D6" s="41">
        <f>Assumptions!$D$23</f>
        <v/>
      </c>
      <c r="E6" s="42">
        <f>D6/'Sources &amp; Uses'!$D$11</f>
        <v/>
      </c>
      <c r="G6" s="7" t="inlineStr">
        <is>
          <t>Equity Purchase Price</t>
        </is>
      </c>
      <c r="I6" s="41">
        <f>Assumptions!$D$11</f>
        <v/>
      </c>
      <c r="J6" s="42">
        <f>I6/'Sources &amp; Uses'!$I$12</f>
        <v/>
      </c>
    </row>
    <row r="7">
      <c r="B7" s="7" t="inlineStr">
        <is>
          <t>Subordinated / Mezzanine Notes</t>
        </is>
      </c>
      <c r="D7" s="41">
        <f>Assumptions!$D$27</f>
        <v/>
      </c>
      <c r="E7" s="42">
        <f>D7/'Sources &amp; Uses'!$D$11</f>
        <v/>
      </c>
      <c r="G7" s="7" t="inlineStr">
        <is>
          <t>Refinance Existing Debt</t>
        </is>
      </c>
      <c r="I7" s="41">
        <f>Assumptions!$D$10</f>
        <v/>
      </c>
      <c r="J7" s="42">
        <f>I7/'Sources &amp; Uses'!$I$12</f>
        <v/>
      </c>
    </row>
    <row r="8">
      <c r="B8" s="7" t="inlineStr">
        <is>
          <t>Management Rollover Equity</t>
        </is>
      </c>
      <c r="D8" s="41">
        <f>Assumptions!$D$33</f>
        <v/>
      </c>
      <c r="E8" s="42">
        <f>D8/'Sources &amp; Uses'!$D$11</f>
        <v/>
      </c>
      <c r="G8" s="7" t="inlineStr">
        <is>
          <t>Transaction Fees</t>
        </is>
      </c>
      <c r="I8" s="43">
        <f>Assumptions!$D$31*Assumptions!$D$9</f>
        <v/>
      </c>
      <c r="J8" s="42">
        <f>I8/'Sources &amp; Uses'!$I$12</f>
        <v/>
      </c>
    </row>
    <row r="9">
      <c r="B9" s="8" t="inlineStr">
        <is>
          <t>Sponsor Equity (plug)</t>
        </is>
      </c>
      <c r="D9" s="44">
        <f>'Sources &amp; Uses'!$I$12-'Sources &amp; Uses'!$D$6-'Sources &amp; Uses'!$D$7-'Sources &amp; Uses'!$D$8</f>
        <v/>
      </c>
      <c r="E9" s="42">
        <f>D9/'Sources &amp; Uses'!$D$11</f>
        <v/>
      </c>
      <c r="G9" s="7" t="inlineStr">
        <is>
          <t>Financing Fees</t>
        </is>
      </c>
      <c r="I9" s="43">
        <f>Assumptions!$D$32*Assumptions!$D$29</f>
        <v/>
      </c>
      <c r="J9" s="42">
        <f>I9/'Sources &amp; Uses'!$I$12</f>
        <v/>
      </c>
    </row>
    <row r="10">
      <c r="G10" s="7" t="inlineStr">
        <is>
          <t>Minimum Cash Funded at Close</t>
        </is>
      </c>
      <c r="I10" s="41">
        <f>Assumptions!$D$20</f>
        <v/>
      </c>
      <c r="J10" s="42">
        <f>I10/'Sources &amp; Uses'!$I$12</f>
        <v/>
      </c>
    </row>
    <row r="11">
      <c r="B11" s="45" t="inlineStr">
        <is>
          <t>Total Sources</t>
        </is>
      </c>
      <c r="D11" s="46">
        <f>SUM(D6:D9)</f>
        <v/>
      </c>
    </row>
    <row r="12">
      <c r="G12" s="45" t="inlineStr">
        <is>
          <t>Total Uses</t>
        </is>
      </c>
      <c r="I12" s="47">
        <f>SUM(I6:I10)</f>
        <v/>
      </c>
    </row>
    <row r="14" ht="18" customHeight="1">
      <c r="B14" s="15" t="inlineStr">
        <is>
          <t>Funding Check</t>
        </is>
      </c>
    </row>
    <row r="15">
      <c r="B15" s="8" t="inlineStr">
        <is>
          <t>Total Sources − Total Uses (must = 0)</t>
        </is>
      </c>
      <c r="D15" s="48">
        <f>'Sources &amp; Uses'!$D$11-'Sources &amp; Uses'!$I$12</f>
        <v/>
      </c>
    </row>
    <row r="16">
      <c r="B16" s="8" t="inlineStr">
        <is>
          <t>Status</t>
        </is>
      </c>
      <c r="D16" s="49">
        <f>IF(ABS(D15)&lt;0.01,"PASS","FAIL")</f>
        <v/>
      </c>
    </row>
    <row r="18">
      <c r="B18" s="7" t="inlineStr">
        <is>
          <t>Implied Total Leverage (Debt / LTM EBITDA)</t>
        </is>
      </c>
      <c r="D18" s="50">
        <f>('Sources &amp; Uses'!$D$6+'Sources &amp; Uses'!$D$7)/Assumptions!$D$6</f>
        <v/>
      </c>
    </row>
    <row r="19">
      <c r="B19" s="7" t="inlineStr">
        <is>
          <t>Sponsor Equity % of Total Capitalization</t>
        </is>
      </c>
      <c r="D19" s="51">
        <f>'Sources &amp; Uses'!$D$9/'Sources &amp; Uses'!$D$11</f>
        <v/>
      </c>
    </row>
  </sheetData>
  <mergeCells count="5">
    <mergeCell ref="A1:J1"/>
    <mergeCell ref="B4:E4"/>
    <mergeCell ref="G4:J4"/>
    <mergeCell ref="A2:J2"/>
    <mergeCell ref="B14:E14"/>
  </mergeCells>
  <conditionalFormatting sqref="D16">
    <cfRule type="cellIs" priority="1" operator="equal" dxfId="0">
      <formula>"FAIL"</formula>
    </cfRule>
    <cfRule type="cellIs" priority="2" operator="equal" dxfId="1">
      <formula>"PASS"</formula>
    </cfRule>
  </conditionalFormatting>
  <printOptions horizontalCentered="0"/>
  <pageMargins left="0.75" right="0.75" top="1" bottom="1" header="0.5" footer="0.5"/>
  <pageSetup orientation="landscape" fitToHeight="0" fitToWidth="1"/>
</worksheet>
</file>

<file path=xl/worksheets/sheet5.xml><?xml version="1.0" encoding="utf-8"?>
<worksheet xmlns="http://schemas.openxmlformats.org/spreadsheetml/2006/main">
  <sheetPr>
    <tabColor rgb="001F3864"/>
    <outlinePr summaryBelow="1" summaryRight="1"/>
    <pageSetUpPr fitToPage="1"/>
  </sheetPr>
  <dimension ref="A1:I22"/>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outlineLevelCol="0"/>
  <cols>
    <col width="3" customWidth="1" min="1" max="1"/>
    <col width="36" customWidth="1" min="2" max="2"/>
    <col width="2" customWidth="1" min="3" max="3"/>
    <col width="13" customWidth="1" min="4" max="4"/>
    <col width="13" customWidth="1" min="5" max="5"/>
    <col width="13" customWidth="1" min="6" max="6"/>
    <col width="13" customWidth="1" min="7" max="7"/>
    <col width="13" customWidth="1" min="8" max="8"/>
    <col width="13" customWidth="1" min="9" max="9"/>
  </cols>
  <sheetData>
    <row r="1" ht="30" customHeight="1">
      <c r="A1" s="13" t="inlineStr">
        <is>
          <t>OPERATING MODEL</t>
        </is>
      </c>
    </row>
    <row r="2" ht="16" customHeight="1">
      <c r="A2" s="14" t="inlineStr">
        <is>
          <t>5-Year Forecast: Revenue → EBITDA → Free Cash Flow  |  $ in millions  |  Interest expense links from the Debt Schedule (beginning-of-year balances, no circularity)</t>
        </is>
      </c>
    </row>
    <row r="4" ht="18" customHeight="1">
      <c r="B4" s="15" t="inlineStr">
        <is>
          <t>Revenue, EBITDA &amp; Free Cash Flow Build</t>
        </is>
      </c>
    </row>
    <row r="5" ht="16" customHeight="1">
      <c r="D5" s="52" t="inlineStr">
        <is>
          <t>Entry (LTM)</t>
        </is>
      </c>
      <c r="E5" s="52" t="inlineStr">
        <is>
          <t>Year 1</t>
        </is>
      </c>
      <c r="F5" s="52" t="inlineStr">
        <is>
          <t>Year 2</t>
        </is>
      </c>
      <c r="G5" s="52" t="inlineStr">
        <is>
          <t>Year 3</t>
        </is>
      </c>
      <c r="H5" s="52" t="inlineStr">
        <is>
          <t>Year 4</t>
        </is>
      </c>
      <c r="I5" s="52" t="inlineStr">
        <is>
          <t>Year 5</t>
        </is>
      </c>
    </row>
    <row r="6">
      <c r="B6" s="16" t="inlineStr">
        <is>
          <t>Revenue</t>
        </is>
      </c>
      <c r="D6" s="53">
        <f>Assumptions!$D$5</f>
        <v/>
      </c>
      <c r="E6" s="53">
        <f>D6*(1+Assumptions!$D$14)</f>
        <v/>
      </c>
      <c r="F6" s="53">
        <f>E6*(1+Assumptions!$D$14)</f>
        <v/>
      </c>
      <c r="G6" s="53">
        <f>F6*(1+Assumptions!$D$14)</f>
        <v/>
      </c>
      <c r="H6" s="53">
        <f>G6*(1+Assumptions!$D$14)</f>
        <v/>
      </c>
      <c r="I6" s="53">
        <f>H6*(1+Assumptions!$D$14)</f>
        <v/>
      </c>
    </row>
    <row r="7">
      <c r="B7" s="16" t="inlineStr">
        <is>
          <t xml:space="preserve">  Revenue Growth %</t>
        </is>
      </c>
      <c r="E7" s="54">
        <f>E6/D6-1</f>
        <v/>
      </c>
      <c r="F7" s="54">
        <f>F6/E6-1</f>
        <v/>
      </c>
      <c r="G7" s="54">
        <f>G6/F6-1</f>
        <v/>
      </c>
      <c r="H7" s="54">
        <f>H6/G6-1</f>
        <v/>
      </c>
      <c r="I7" s="54">
        <f>I6/H6-1</f>
        <v/>
      </c>
    </row>
    <row r="8">
      <c r="B8" s="16" t="inlineStr">
        <is>
          <t xml:space="preserve">  EBITDA Margin %</t>
        </is>
      </c>
      <c r="D8" s="54">
        <f>Assumptions!$D$7</f>
        <v/>
      </c>
      <c r="E8" s="54">
        <f>D8+Assumptions!$D$15/10000</f>
        <v/>
      </c>
      <c r="F8" s="54">
        <f>E8+Assumptions!$D$15/10000</f>
        <v/>
      </c>
      <c r="G8" s="54">
        <f>F8+Assumptions!$D$15/10000</f>
        <v/>
      </c>
      <c r="H8" s="54">
        <f>G8+Assumptions!$D$15/10000</f>
        <v/>
      </c>
      <c r="I8" s="54">
        <f>H8+Assumptions!$D$15/10000</f>
        <v/>
      </c>
    </row>
    <row r="9">
      <c r="B9" s="21" t="inlineStr">
        <is>
          <t>EBITDA</t>
        </is>
      </c>
      <c r="D9" s="53">
        <f>Assumptions!$D$6</f>
        <v/>
      </c>
      <c r="E9" s="53">
        <f>E6*E8</f>
        <v/>
      </c>
      <c r="F9" s="53">
        <f>F6*F8</f>
        <v/>
      </c>
      <c r="G9" s="53">
        <f>G6*G8</f>
        <v/>
      </c>
      <c r="H9" s="53">
        <f>H6*H8</f>
        <v/>
      </c>
      <c r="I9" s="53">
        <f>I6*I8</f>
        <v/>
      </c>
    </row>
    <row r="10">
      <c r="B10" s="16" t="inlineStr">
        <is>
          <t xml:space="preserve">  EBITDA Growth %</t>
        </is>
      </c>
      <c r="E10" s="54">
        <f>E9/D9-1</f>
        <v/>
      </c>
      <c r="F10" s="54">
        <f>F9/E9-1</f>
        <v/>
      </c>
      <c r="G10" s="54">
        <f>G9/F9-1</f>
        <v/>
      </c>
      <c r="H10" s="54">
        <f>H9/G9-1</f>
        <v/>
      </c>
      <c r="I10" s="54">
        <f>I9/H9-1</f>
        <v/>
      </c>
    </row>
    <row r="11">
      <c r="B11" s="16" t="inlineStr">
        <is>
          <t>Less: D&amp;A</t>
        </is>
      </c>
      <c r="E11" s="55">
        <f>E6*Assumptions!$D$16</f>
        <v/>
      </c>
      <c r="F11" s="55">
        <f>F6*Assumptions!$D$16</f>
        <v/>
      </c>
      <c r="G11" s="55">
        <f>G6*Assumptions!$D$16</f>
        <v/>
      </c>
      <c r="H11" s="55">
        <f>H6*Assumptions!$D$16</f>
        <v/>
      </c>
      <c r="I11" s="55">
        <f>I6*Assumptions!$D$16</f>
        <v/>
      </c>
    </row>
    <row r="12">
      <c r="B12" s="21" t="inlineStr">
        <is>
          <t>EBIT</t>
        </is>
      </c>
      <c r="E12" s="53">
        <f>E9-E11</f>
        <v/>
      </c>
      <c r="F12" s="53">
        <f>F9-F11</f>
        <v/>
      </c>
      <c r="G12" s="53">
        <f>G9-G11</f>
        <v/>
      </c>
      <c r="H12" s="53">
        <f>H9-H11</f>
        <v/>
      </c>
      <c r="I12" s="53">
        <f>I9-I11</f>
        <v/>
      </c>
    </row>
    <row r="13">
      <c r="B13" s="16" t="inlineStr">
        <is>
          <t>Less: Interest Expense</t>
        </is>
      </c>
      <c r="E13" s="55">
        <f>'Debt Schedule'!E21</f>
        <v/>
      </c>
      <c r="F13" s="55">
        <f>'Debt Schedule'!F21</f>
        <v/>
      </c>
      <c r="G13" s="55">
        <f>'Debt Schedule'!G21</f>
        <v/>
      </c>
      <c r="H13" s="55">
        <f>'Debt Schedule'!H21</f>
        <v/>
      </c>
      <c r="I13" s="55">
        <f>'Debt Schedule'!I21</f>
        <v/>
      </c>
    </row>
    <row r="14">
      <c r="B14" s="16" t="inlineStr">
        <is>
          <t>EBT (Pre-Tax Income)</t>
        </is>
      </c>
      <c r="E14" s="55">
        <f>E12-E13</f>
        <v/>
      </c>
      <c r="F14" s="55">
        <f>F12-F13</f>
        <v/>
      </c>
      <c r="G14" s="55">
        <f>G12-G13</f>
        <v/>
      </c>
      <c r="H14" s="55">
        <f>H12-H13</f>
        <v/>
      </c>
      <c r="I14" s="55">
        <f>I12-I13</f>
        <v/>
      </c>
    </row>
    <row r="15">
      <c r="B15" s="16" t="inlineStr">
        <is>
          <t>Less: Cash Taxes</t>
        </is>
      </c>
      <c r="E15" s="55">
        <f>MAX(E14,0)*Assumptions!$D$19</f>
        <v/>
      </c>
      <c r="F15" s="55">
        <f>MAX(F14,0)*Assumptions!$D$19</f>
        <v/>
      </c>
      <c r="G15" s="55">
        <f>MAX(G14,0)*Assumptions!$D$19</f>
        <v/>
      </c>
      <c r="H15" s="55">
        <f>MAX(H14,0)*Assumptions!$D$19</f>
        <v/>
      </c>
      <c r="I15" s="55">
        <f>MAX(I14,0)*Assumptions!$D$19</f>
        <v/>
      </c>
    </row>
    <row r="16">
      <c r="B16" s="21" t="inlineStr">
        <is>
          <t>Net Income</t>
        </is>
      </c>
      <c r="E16" s="53">
        <f>E14-E15</f>
        <v/>
      </c>
      <c r="F16" s="53">
        <f>F14-F15</f>
        <v/>
      </c>
      <c r="G16" s="53">
        <f>G14-G15</f>
        <v/>
      </c>
      <c r="H16" s="53">
        <f>H14-H15</f>
        <v/>
      </c>
      <c r="I16" s="53">
        <f>I14-I15</f>
        <v/>
      </c>
    </row>
    <row r="17">
      <c r="B17" s="16" t="inlineStr">
        <is>
          <t>Plus: D&amp;A</t>
        </is>
      </c>
      <c r="E17" s="55">
        <f>E11</f>
        <v/>
      </c>
      <c r="F17" s="55">
        <f>F11</f>
        <v/>
      </c>
      <c r="G17" s="55">
        <f>G11</f>
        <v/>
      </c>
      <c r="H17" s="55">
        <f>H11</f>
        <v/>
      </c>
      <c r="I17" s="55">
        <f>I11</f>
        <v/>
      </c>
    </row>
    <row r="18">
      <c r="B18" s="16" t="inlineStr">
        <is>
          <t>Less: Capital Expenditures</t>
        </is>
      </c>
      <c r="E18" s="55">
        <f>-E6*Assumptions!$D$17</f>
        <v/>
      </c>
      <c r="F18" s="55">
        <f>-F6*Assumptions!$D$17</f>
        <v/>
      </c>
      <c r="G18" s="55">
        <f>-G6*Assumptions!$D$17</f>
        <v/>
      </c>
      <c r="H18" s="55">
        <f>-H6*Assumptions!$D$17</f>
        <v/>
      </c>
      <c r="I18" s="55">
        <f>-I6*Assumptions!$D$17</f>
        <v/>
      </c>
    </row>
    <row r="19">
      <c r="B19" s="16" t="inlineStr">
        <is>
          <t>Less: Increase in Net Working Capital</t>
        </is>
      </c>
      <c r="E19" s="55">
        <f>-(E6-D6)*Assumptions!$D$18</f>
        <v/>
      </c>
      <c r="F19" s="55">
        <f>-(F6-E6)*Assumptions!$D$18</f>
        <v/>
      </c>
      <c r="G19" s="55">
        <f>-(G6-F6)*Assumptions!$D$18</f>
        <v/>
      </c>
      <c r="H19" s="55">
        <f>-(H6-G6)*Assumptions!$D$18</f>
        <v/>
      </c>
      <c r="I19" s="55">
        <f>-(I6-H6)*Assumptions!$D$18</f>
        <v/>
      </c>
    </row>
    <row r="20">
      <c r="B20" s="21" t="inlineStr">
        <is>
          <t>Cash Flow Available for Debt Service (CFADS)</t>
        </is>
      </c>
      <c r="E20" s="46">
        <f>E16+E17+E18+E19</f>
        <v/>
      </c>
      <c r="F20" s="46">
        <f>F16+F17+F18+F19</f>
        <v/>
      </c>
      <c r="G20" s="46">
        <f>G16+G17+G18+G19</f>
        <v/>
      </c>
      <c r="H20" s="46">
        <f>H16+H17+H18+H19</f>
        <v/>
      </c>
      <c r="I20" s="46">
        <f>I16+I17+I18+I19</f>
        <v/>
      </c>
    </row>
    <row r="21"/>
    <row r="22">
      <c r="B22" s="16" t="inlineStr">
        <is>
          <t>Memo: CFADS / EBITDA Conversion</t>
        </is>
      </c>
      <c r="E22" s="54">
        <f>E20/E9</f>
        <v/>
      </c>
      <c r="F22" s="54">
        <f>F20/F9</f>
        <v/>
      </c>
      <c r="G22" s="54">
        <f>G20/G9</f>
        <v/>
      </c>
      <c r="H22" s="54">
        <f>H20/H9</f>
        <v/>
      </c>
      <c r="I22" s="54">
        <f>I20/I9</f>
        <v/>
      </c>
    </row>
  </sheetData>
  <mergeCells count="3">
    <mergeCell ref="A1:I1"/>
    <mergeCell ref="B4:I4"/>
    <mergeCell ref="A2:I2"/>
  </mergeCells>
  <printOptions horizontalCentered="0"/>
  <pageMargins left="0.75" right="0.75" top="1" bottom="1" header="0.5" footer="0.5"/>
  <pageSetup orientation="landscape" fitToHeight="0" fitToWidth="1"/>
</worksheet>
</file>

<file path=xl/worksheets/sheet6.xml><?xml version="1.0" encoding="utf-8"?>
<worksheet xmlns="http://schemas.openxmlformats.org/spreadsheetml/2006/main">
  <sheetPr>
    <tabColor rgb="001F3864"/>
    <outlinePr summaryBelow="1" summaryRight="1"/>
    <pageSetUpPr fitToPage="1"/>
  </sheetPr>
  <dimension ref="A1:I31"/>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outlineLevelCol="0"/>
  <cols>
    <col width="3" customWidth="1" min="1" max="1"/>
    <col width="38" customWidth="1" min="2" max="2"/>
    <col width="2" customWidth="1" min="3" max="3"/>
    <col width="13" customWidth="1" min="4" max="4"/>
    <col width="13" customWidth="1" min="5" max="5"/>
    <col width="13" customWidth="1" min="6" max="6"/>
    <col width="13" customWidth="1" min="7" max="7"/>
    <col width="13" customWidth="1" min="8" max="8"/>
    <col width="13" customWidth="1" min="9" max="9"/>
  </cols>
  <sheetData>
    <row r="1" ht="30" customHeight="1">
      <c r="A1" s="13" t="inlineStr">
        <is>
          <t>DEBT SCHEDULE</t>
        </is>
      </c>
    </row>
    <row r="2" ht="16" customHeight="1">
      <c r="A2" s="14" t="inlineStr">
        <is>
          <t>Amortization, Cash Sweep &amp; Leverage  |  $ in millions  |  Interest accrues on beginning-of-year balances (standard simplifying convention — see Methodology)</t>
        </is>
      </c>
    </row>
    <row r="4" ht="18" customHeight="1">
      <c r="B4" s="15" t="inlineStr">
        <is>
          <t>Debt Waterfall</t>
        </is>
      </c>
    </row>
    <row r="5" ht="16" customHeight="1">
      <c r="D5" s="52" t="inlineStr">
        <is>
          <t>Entry (LTM)</t>
        </is>
      </c>
      <c r="E5" s="52" t="inlineStr">
        <is>
          <t>Year 1</t>
        </is>
      </c>
      <c r="F5" s="52" t="inlineStr">
        <is>
          <t>Year 2</t>
        </is>
      </c>
      <c r="G5" s="52" t="inlineStr">
        <is>
          <t>Year 3</t>
        </is>
      </c>
      <c r="H5" s="52" t="inlineStr">
        <is>
          <t>Year 4</t>
        </is>
      </c>
      <c r="I5" s="52" t="inlineStr">
        <is>
          <t>Year 5</t>
        </is>
      </c>
    </row>
    <row r="6">
      <c r="B6" s="21" t="inlineStr">
        <is>
          <t>Cash Flow Available for Debt Service (CFADS)</t>
        </is>
      </c>
      <c r="E6" s="53">
        <f>'Operating Model'!E20</f>
        <v/>
      </c>
      <c r="F6" s="53">
        <f>'Operating Model'!F20</f>
        <v/>
      </c>
      <c r="G6" s="53">
        <f>'Operating Model'!G20</f>
        <v/>
      </c>
      <c r="H6" s="53">
        <f>'Operating Model'!H20</f>
        <v/>
      </c>
      <c r="I6" s="53">
        <f>'Operating Model'!I20</f>
        <v/>
      </c>
    </row>
    <row r="7"/>
    <row r="8">
      <c r="B8" s="16" t="inlineStr">
        <is>
          <t>Senior Term Loan — Beginning Balance</t>
        </is>
      </c>
      <c r="E8" s="55">
        <f>D11</f>
        <v/>
      </c>
      <c r="F8" s="55">
        <f>E11</f>
        <v/>
      </c>
      <c r="G8" s="55">
        <f>F11</f>
        <v/>
      </c>
      <c r="H8" s="55">
        <f>G11</f>
        <v/>
      </c>
      <c r="I8" s="55">
        <f>H11</f>
        <v/>
      </c>
    </row>
    <row r="9">
      <c r="B9" s="56" t="inlineStr">
        <is>
          <t xml:space="preserve">  Mandatory Amortization</t>
        </is>
      </c>
      <c r="E9" s="55">
        <f>MIN(Assumptions!$D$25*Assumptions!$D$23,E8)</f>
        <v/>
      </c>
      <c r="F9" s="55">
        <f>MIN(Assumptions!$D$25*Assumptions!$D$23,F8)</f>
        <v/>
      </c>
      <c r="G9" s="55">
        <f>MIN(Assumptions!$D$25*Assumptions!$D$23,G8)</f>
        <v/>
      </c>
      <c r="H9" s="55">
        <f>MIN(Assumptions!$D$25*Assumptions!$D$23,H8)</f>
        <v/>
      </c>
      <c r="I9" s="55">
        <f>MIN(Assumptions!$D$25*Assumptions!$D$23,I8)</f>
        <v/>
      </c>
    </row>
    <row r="10">
      <c r="B10" s="56" t="inlineStr">
        <is>
          <t xml:space="preserve">  Optional Prepayment (Cash Sweep)</t>
        </is>
      </c>
      <c r="E10" s="55">
        <f>MIN(Assumptions!$D$26*MAX(E6-E9,0),MAX(E8-E9,0))</f>
        <v/>
      </c>
      <c r="F10" s="55">
        <f>MIN(Assumptions!$D$26*MAX(F6-F9,0),MAX(F8-F9,0))</f>
        <v/>
      </c>
      <c r="G10" s="55">
        <f>MIN(Assumptions!$D$26*MAX(G6-G9,0),MAX(G8-G9,0))</f>
        <v/>
      </c>
      <c r="H10" s="55">
        <f>MIN(Assumptions!$D$26*MAX(H6-H9,0),MAX(H8-H9,0))</f>
        <v/>
      </c>
      <c r="I10" s="55">
        <f>MIN(Assumptions!$D$26*MAX(I6-I9,0),MAX(I8-I9,0))</f>
        <v/>
      </c>
    </row>
    <row r="11">
      <c r="B11" s="21" t="inlineStr">
        <is>
          <t>Senior Term Loan — Ending Balance</t>
        </is>
      </c>
      <c r="D11" s="57">
        <f>Assumptions!$D$23</f>
        <v/>
      </c>
      <c r="E11" s="57">
        <f>E8-E9-E10</f>
        <v/>
      </c>
      <c r="F11" s="57">
        <f>F8-F9-F10</f>
        <v/>
      </c>
      <c r="G11" s="57">
        <f>G8-G9-G10</f>
        <v/>
      </c>
      <c r="H11" s="57">
        <f>H8-H9-H10</f>
        <v/>
      </c>
      <c r="I11" s="57">
        <f>I8-I9-I10</f>
        <v/>
      </c>
    </row>
    <row r="12">
      <c r="B12" s="56" t="inlineStr">
        <is>
          <t>Senior Interest Expense</t>
        </is>
      </c>
      <c r="E12" s="55">
        <f>E8*Assumptions!$D$24</f>
        <v/>
      </c>
      <c r="F12" s="55">
        <f>F8*Assumptions!$D$24</f>
        <v/>
      </c>
      <c r="G12" s="55">
        <f>G8*Assumptions!$D$24</f>
        <v/>
      </c>
      <c r="H12" s="55">
        <f>H8*Assumptions!$D$24</f>
        <v/>
      </c>
      <c r="I12" s="55">
        <f>I8*Assumptions!$D$24</f>
        <v/>
      </c>
    </row>
    <row r="13"/>
    <row r="14">
      <c r="B14" s="16" t="inlineStr">
        <is>
          <t>Subordinated Notes — Beginning Balance</t>
        </is>
      </c>
      <c r="E14" s="55">
        <f>D16</f>
        <v/>
      </c>
      <c r="F14" s="55">
        <f>E16</f>
        <v/>
      </c>
      <c r="G14" s="55">
        <f>F16</f>
        <v/>
      </c>
      <c r="H14" s="55">
        <f>G16</f>
        <v/>
      </c>
      <c r="I14" s="55">
        <f>H16</f>
        <v/>
      </c>
    </row>
    <row r="15">
      <c r="B15" s="56" t="inlineStr">
        <is>
          <t xml:space="preserve">  Optional Prepayment (Post-Senior Sweep)</t>
        </is>
      </c>
      <c r="E15" s="55">
        <f>MIN(MAX(Assumptions!$D$26*MAX(E6-E9,0)-E10,0),E14)</f>
        <v/>
      </c>
      <c r="F15" s="55">
        <f>MIN(MAX(Assumptions!$D$26*MAX(F6-F9,0)-F10,0),F14)</f>
        <v/>
      </c>
      <c r="G15" s="55">
        <f>MIN(MAX(Assumptions!$D$26*MAX(G6-G9,0)-G10,0),G14)</f>
        <v/>
      </c>
      <c r="H15" s="55">
        <f>MIN(MAX(Assumptions!$D$26*MAX(H6-H9,0)-H10,0),H14)</f>
        <v/>
      </c>
      <c r="I15" s="55">
        <f>MIN(MAX(Assumptions!$D$26*MAX(I6-I9,0)-I10,0),I14)</f>
        <v/>
      </c>
    </row>
    <row r="16">
      <c r="B16" s="21" t="inlineStr">
        <is>
          <t>Subordinated Notes — Ending Balance</t>
        </is>
      </c>
      <c r="D16" s="57">
        <f>Assumptions!$D$27</f>
        <v/>
      </c>
      <c r="E16" s="57">
        <f>E14-E15</f>
        <v/>
      </c>
      <c r="F16" s="57">
        <f>F14-F15</f>
        <v/>
      </c>
      <c r="G16" s="57">
        <f>G14-G15</f>
        <v/>
      </c>
      <c r="H16" s="57">
        <f>H14-H15</f>
        <v/>
      </c>
      <c r="I16" s="57">
        <f>I14-I15</f>
        <v/>
      </c>
    </row>
    <row r="17">
      <c r="B17" s="56" t="inlineStr">
        <is>
          <t>Subordinated Interest Expense</t>
        </is>
      </c>
      <c r="E17" s="55">
        <f>E14*Assumptions!$D$28</f>
        <v/>
      </c>
      <c r="F17" s="55">
        <f>F14*Assumptions!$D$28</f>
        <v/>
      </c>
      <c r="G17" s="55">
        <f>G14*Assumptions!$D$28</f>
        <v/>
      </c>
      <c r="H17" s="55">
        <f>H14*Assumptions!$D$28</f>
        <v/>
      </c>
      <c r="I17" s="55">
        <f>I14*Assumptions!$D$28</f>
        <v/>
      </c>
    </row>
    <row r="18"/>
    <row r="19">
      <c r="B19" s="21" t="inlineStr">
        <is>
          <t>Total Debt — Beginning Balance</t>
        </is>
      </c>
      <c r="E19" s="53">
        <f>E8+E14</f>
        <v/>
      </c>
      <c r="F19" s="53">
        <f>F8+F14</f>
        <v/>
      </c>
      <c r="G19" s="53">
        <f>G8+G14</f>
        <v/>
      </c>
      <c r="H19" s="53">
        <f>H8+H14</f>
        <v/>
      </c>
      <c r="I19" s="53">
        <f>I8+I14</f>
        <v/>
      </c>
    </row>
    <row r="20">
      <c r="B20" s="21" t="inlineStr">
        <is>
          <t>Total Debt — Ending Balance</t>
        </is>
      </c>
      <c r="D20" s="57">
        <f>D11+D16</f>
        <v/>
      </c>
      <c r="E20" s="57">
        <f>E11+E16</f>
        <v/>
      </c>
      <c r="F20" s="57">
        <f>F11+F16</f>
        <v/>
      </c>
      <c r="G20" s="57">
        <f>G11+G16</f>
        <v/>
      </c>
      <c r="H20" s="57">
        <f>H11+H16</f>
        <v/>
      </c>
      <c r="I20" s="57">
        <f>I11+I16</f>
        <v/>
      </c>
    </row>
    <row r="21">
      <c r="B21" s="21" t="inlineStr">
        <is>
          <t>Total Interest Expense</t>
        </is>
      </c>
      <c r="E21" s="53">
        <f>E12+E17</f>
        <v/>
      </c>
      <c r="F21" s="53">
        <f>F12+F17</f>
        <v/>
      </c>
      <c r="G21" s="53">
        <f>G12+G17</f>
        <v/>
      </c>
      <c r="H21" s="53">
        <f>H12+H17</f>
        <v/>
      </c>
      <c r="I21" s="53">
        <f>I12+I17</f>
        <v/>
      </c>
    </row>
    <row r="22"/>
    <row r="23">
      <c r="B23" s="16" t="inlineStr">
        <is>
          <t>Cash Balance — Beginning</t>
        </is>
      </c>
      <c r="E23" s="55">
        <f>D25</f>
        <v/>
      </c>
      <c r="F23" s="55">
        <f>E25</f>
        <v/>
      </c>
      <c r="G23" s="55">
        <f>F25</f>
        <v/>
      </c>
      <c r="H23" s="55">
        <f>G25</f>
        <v/>
      </c>
      <c r="I23" s="55">
        <f>H25</f>
        <v/>
      </c>
    </row>
    <row r="24">
      <c r="B24" s="56" t="inlineStr">
        <is>
          <t xml:space="preserve">  Net Cash Build (CFADS less Debt Repayment)</t>
        </is>
      </c>
      <c r="E24" s="55">
        <f>E6-E9-E10-E15</f>
        <v/>
      </c>
      <c r="F24" s="55">
        <f>F6-F9-F10-F15</f>
        <v/>
      </c>
      <c r="G24" s="55">
        <f>G6-G9-G10-G15</f>
        <v/>
      </c>
      <c r="H24" s="55">
        <f>H6-H9-H10-H15</f>
        <v/>
      </c>
      <c r="I24" s="55">
        <f>I6-I9-I10-I15</f>
        <v/>
      </c>
    </row>
    <row r="25">
      <c r="B25" s="21" t="inlineStr">
        <is>
          <t>Cash Balance — Ending</t>
        </is>
      </c>
      <c r="D25" s="57">
        <f>Assumptions!$D$20</f>
        <v/>
      </c>
      <c r="E25" s="57">
        <f>E23+E24</f>
        <v/>
      </c>
      <c r="F25" s="57">
        <f>F23+F24</f>
        <v/>
      </c>
      <c r="G25" s="57">
        <f>G23+G24</f>
        <v/>
      </c>
      <c r="H25" s="57">
        <f>H23+H24</f>
        <v/>
      </c>
      <c r="I25" s="57">
        <f>I23+I24</f>
        <v/>
      </c>
    </row>
    <row r="26"/>
    <row r="27" ht="18" customHeight="1">
      <c r="B27" s="15" t="inlineStr">
        <is>
          <t>Credit Statistics</t>
        </is>
      </c>
    </row>
    <row r="28">
      <c r="B28" s="16" t="inlineStr">
        <is>
          <t>Total Debt / EBITDA</t>
        </is>
      </c>
      <c r="D28" s="58">
        <f>D20/Assumptions!$D$6</f>
        <v/>
      </c>
      <c r="E28" s="58">
        <f>E20/'Operating Model'!E9</f>
        <v/>
      </c>
      <c r="F28" s="58">
        <f>F20/'Operating Model'!F9</f>
        <v/>
      </c>
      <c r="G28" s="58">
        <f>G20/'Operating Model'!G9</f>
        <v/>
      </c>
      <c r="H28" s="58">
        <f>H20/'Operating Model'!H9</f>
        <v/>
      </c>
      <c r="I28" s="58">
        <f>I20/'Operating Model'!I9</f>
        <v/>
      </c>
    </row>
    <row r="29">
      <c r="B29" s="16" t="inlineStr">
        <is>
          <t>Net Debt / EBITDA</t>
        </is>
      </c>
      <c r="D29" s="58">
        <f>(D20-D25)/Assumptions!$D$6</f>
        <v/>
      </c>
      <c r="E29" s="58">
        <f>(E20-E25)/'Operating Model'!E9</f>
        <v/>
      </c>
      <c r="F29" s="58">
        <f>(F20-F25)/'Operating Model'!F9</f>
        <v/>
      </c>
      <c r="G29" s="58">
        <f>(G20-G25)/'Operating Model'!G9</f>
        <v/>
      </c>
      <c r="H29" s="58">
        <f>(H20-H25)/'Operating Model'!H9</f>
        <v/>
      </c>
      <c r="I29" s="58">
        <f>(I20-I25)/'Operating Model'!I9</f>
        <v/>
      </c>
    </row>
    <row r="30">
      <c r="B30" s="16" t="inlineStr">
        <is>
          <t>Senior Debt / EBITDA</t>
        </is>
      </c>
      <c r="D30" s="58">
        <f>D11/Assumptions!$D$6</f>
        <v/>
      </c>
      <c r="E30" s="58">
        <f>E11/'Operating Model'!E9</f>
        <v/>
      </c>
      <c r="F30" s="58">
        <f>F11/'Operating Model'!F9</f>
        <v/>
      </c>
      <c r="G30" s="58">
        <f>G11/'Operating Model'!G9</f>
        <v/>
      </c>
      <c r="H30" s="58">
        <f>H11/'Operating Model'!H9</f>
        <v/>
      </c>
      <c r="I30" s="58">
        <f>I11/'Operating Model'!I9</f>
        <v/>
      </c>
    </row>
    <row r="31">
      <c r="B31" s="16" t="inlineStr">
        <is>
          <t>Interest Coverage (EBITDA / Interest)</t>
        </is>
      </c>
      <c r="E31" s="58">
        <f>'Operating Model'!E9/E21</f>
        <v/>
      </c>
      <c r="F31" s="58">
        <f>'Operating Model'!F9/F21</f>
        <v/>
      </c>
      <c r="G31" s="58">
        <f>'Operating Model'!G9/G21</f>
        <v/>
      </c>
      <c r="H31" s="58">
        <f>'Operating Model'!H9/H21</f>
        <v/>
      </c>
      <c r="I31" s="58">
        <f>'Operating Model'!I9/I21</f>
        <v/>
      </c>
    </row>
  </sheetData>
  <mergeCells count="4">
    <mergeCell ref="A1:I1"/>
    <mergeCell ref="B4:I4"/>
    <mergeCell ref="A2:I2"/>
    <mergeCell ref="B27:I27"/>
  </mergeCells>
  <printOptions horizontalCentered="0"/>
  <pageMargins left="0.75" right="0.75" top="1" bottom="1" header="0.5" footer="0.5"/>
  <pageSetup orientation="landscape" fitToHeight="0" fitToWidth="1"/>
</worksheet>
</file>

<file path=xl/worksheets/sheet7.xml><?xml version="1.0" encoding="utf-8"?>
<worksheet xmlns="http://schemas.openxmlformats.org/spreadsheetml/2006/main">
  <sheetPr>
    <tabColor rgb="001F3864"/>
    <outlinePr summaryBelow="1" summaryRight="1"/>
    <pageSetUpPr fitToPage="1"/>
  </sheetPr>
  <dimension ref="A1:E18"/>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42" customWidth="1" min="2" max="2"/>
    <col width="2" customWidth="1" min="3" max="3"/>
    <col width="15" customWidth="1" min="4" max="4"/>
    <col width="34" customWidth="1" min="5" max="5"/>
  </cols>
  <sheetData>
    <row r="1" ht="30" customHeight="1">
      <c r="A1" s="13" t="inlineStr">
        <is>
          <t>EXIT ANALYSIS</t>
        </is>
      </c>
    </row>
    <row r="2" ht="16" customHeight="1">
      <c r="A2" s="14" t="inlineStr">
        <is>
          <t>Exit valuation and equity proceeds at the end of the holding period  |  $ in millions</t>
        </is>
      </c>
    </row>
    <row r="4" ht="18" customHeight="1">
      <c r="B4" s="15" t="inlineStr">
        <is>
          <t>Exit Valuation</t>
        </is>
      </c>
    </row>
    <row r="5">
      <c r="B5" s="16" t="inlineStr">
        <is>
          <t>Exit Year</t>
        </is>
      </c>
      <c r="D5" s="59">
        <f>Assumptions!$D$36</f>
        <v/>
      </c>
    </row>
    <row r="6">
      <c r="B6" s="16" t="inlineStr">
        <is>
          <t>Exit-Year EBITDA</t>
        </is>
      </c>
      <c r="D6" s="60">
        <f>'Operating Model'!I9</f>
        <v/>
      </c>
    </row>
    <row r="7">
      <c r="B7" s="16" t="inlineStr">
        <is>
          <t>Exit EV / EBITDA Multiple</t>
        </is>
      </c>
      <c r="D7" s="28">
        <f>Assumptions!$D$37</f>
        <v/>
      </c>
    </row>
    <row r="8">
      <c r="B8" s="21" t="inlineStr">
        <is>
          <t>Exit Enterprise Value</t>
        </is>
      </c>
      <c r="D8" s="22">
        <f>'Exit Analysis'!$D$6*'Exit Analysis'!$D$7</f>
        <v/>
      </c>
    </row>
    <row r="9">
      <c r="B9" s="16" t="inlineStr">
        <is>
          <t>Less: Remaining Total Debt</t>
        </is>
      </c>
      <c r="D9" s="60">
        <f>-'Debt Schedule'!I20</f>
        <v/>
      </c>
    </row>
    <row r="10">
      <c r="B10" s="16" t="inlineStr">
        <is>
          <t>Plus: Cash Balance at Exit</t>
        </is>
      </c>
      <c r="D10" s="60">
        <f>'Debt Schedule'!I25</f>
        <v/>
      </c>
    </row>
    <row r="11">
      <c r="B11" s="16" t="inlineStr">
        <is>
          <t>Less: Estimated Exit / Sale Fees</t>
        </is>
      </c>
      <c r="D11" s="61">
        <f>-Assumptions!$D$38*'Exit Analysis'!$D$8</f>
        <v/>
      </c>
    </row>
    <row r="13">
      <c r="B13" s="45" t="inlineStr">
        <is>
          <t>Total Equity Value at Exit</t>
        </is>
      </c>
      <c r="D13" s="46">
        <f>'Exit Analysis'!$D$8+'Exit Analysis'!$D$9+'Exit Analysis'!$D$10+'Exit Analysis'!$D$11</f>
        <v/>
      </c>
    </row>
    <row r="15" ht="18" customHeight="1">
      <c r="B15" s="15" t="inlineStr">
        <is>
          <t>Allocation Between Sponsor &amp; Management Rollover</t>
        </is>
      </c>
    </row>
    <row r="16">
      <c r="B16" s="16" t="inlineStr">
        <is>
          <t>Sponsor Equity % of Capital at Close</t>
        </is>
      </c>
      <c r="D16" s="19">
        <f>'Sources &amp; Uses'!$D$9/('Sources &amp; Uses'!$D$9+'Sources &amp; Uses'!$D$8)</f>
        <v/>
      </c>
    </row>
    <row r="17">
      <c r="B17" s="21" t="inlineStr">
        <is>
          <t>Sponsor Proceeds at Exit</t>
        </is>
      </c>
      <c r="D17" s="22">
        <f>'Exit Analysis'!$D$13*'Exit Analysis'!$D$16</f>
        <v/>
      </c>
    </row>
    <row r="18">
      <c r="B18" s="16" t="inlineStr">
        <is>
          <t>Management Rollover Proceeds at Exit</t>
        </is>
      </c>
      <c r="D18" s="61">
        <f>'Exit Analysis'!$D$13*(1-'Exit Analysis'!$D$16)</f>
        <v/>
      </c>
    </row>
  </sheetData>
  <mergeCells count="4">
    <mergeCell ref="A2:E2"/>
    <mergeCell ref="B15:E15"/>
    <mergeCell ref="A1:E1"/>
    <mergeCell ref="B4:E4"/>
  </mergeCells>
  <printOptions horizontalCentered="0"/>
  <pageMargins left="0.75" right="0.75" top="1" bottom="1" header="0.5" footer="0.5"/>
  <pageSetup orientation="landscape" fitToHeight="0" fitToWidth="1"/>
</worksheet>
</file>

<file path=xl/worksheets/sheet8.xml><?xml version="1.0" encoding="utf-8"?>
<worksheet xmlns="http://schemas.openxmlformats.org/spreadsheetml/2006/main">
  <sheetPr>
    <tabColor rgb="001F3864"/>
    <outlinePr summaryBelow="1" summaryRight="1"/>
    <pageSetUpPr fitToPage="1"/>
  </sheetPr>
  <dimension ref="A1:I19"/>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42" customWidth="1" min="2" max="2"/>
    <col width="2" customWidth="1" min="3" max="3"/>
    <col width="13" customWidth="1" min="4" max="4"/>
    <col width="13" customWidth="1" min="5" max="5"/>
    <col width="13" customWidth="1" min="6" max="6"/>
    <col width="13" customWidth="1" min="7" max="7"/>
    <col width="13" customWidth="1" min="8" max="8"/>
    <col width="13" customWidth="1" min="9" max="9"/>
  </cols>
  <sheetData>
    <row r="1" ht="30" customHeight="1">
      <c r="A1" s="13" t="inlineStr">
        <is>
          <t>INVESTOR RETURNS</t>
        </is>
      </c>
    </row>
    <row r="2" ht="16" customHeight="1">
      <c r="A2" s="14" t="inlineStr">
        <is>
          <t>Sponsor equity cash flows, MOIC and IRR  |  $ in millions</t>
        </is>
      </c>
    </row>
    <row r="4" ht="18" customHeight="1">
      <c r="B4" s="15" t="inlineStr">
        <is>
          <t>Sponsor Cash Flow Summary</t>
        </is>
      </c>
    </row>
    <row r="5">
      <c r="B5" s="21" t="inlineStr">
        <is>
          <t>Sponsor Equity Invested (Year 0)</t>
        </is>
      </c>
      <c r="D5" s="60">
        <f>'Sources &amp; Uses'!$D$9</f>
        <v/>
      </c>
    </row>
    <row r="6">
      <c r="B6" s="21" t="inlineStr">
        <is>
          <t>Sponsor Proceeds at Exit</t>
        </is>
      </c>
      <c r="D6" s="60">
        <f>'Exit Analysis'!$D$17</f>
        <v/>
      </c>
    </row>
    <row r="7">
      <c r="B7" s="16" t="inlineStr">
        <is>
          <t>Holding Period</t>
        </is>
      </c>
      <c r="D7" s="62">
        <f>Assumptions!$D$36</f>
        <v/>
      </c>
    </row>
    <row r="9" ht="18" customHeight="1">
      <c r="B9" s="15" t="inlineStr">
        <is>
          <t>Returns</t>
        </is>
      </c>
    </row>
    <row r="10">
      <c r="B10" s="21" t="inlineStr">
        <is>
          <t>MOIC (Multiple of Invested Capital)</t>
        </is>
      </c>
      <c r="D10" s="63">
        <f>'Investor Returns'!$D$6/'Investor Returns'!$D$5</f>
        <v/>
      </c>
    </row>
    <row r="11">
      <c r="B11" s="45" t="inlineStr">
        <is>
          <t>IRR (Internal Rate of Return)</t>
        </is>
      </c>
      <c r="D11" s="64">
        <f>IRR(D16:I16)</f>
        <v/>
      </c>
    </row>
    <row r="12">
      <c r="B12" s="16" t="inlineStr">
        <is>
          <t>Cross-Check: (MOIC)^(1/n) − 1</t>
        </is>
      </c>
      <c r="D12" s="19">
        <f>('Investor Returns'!$D$10)^(1/'Investor Returns'!$D$7)-1</f>
        <v/>
      </c>
      <c r="E12" s="18" t="inlineStr">
        <is>
          <t>Should equal IRR above when there are no interim cash flows</t>
        </is>
      </c>
    </row>
    <row r="14" ht="18" customHeight="1">
      <c r="B14" s="15" t="inlineStr">
        <is>
          <t>Sponsor Cash Flow Array (basis for IRR)</t>
        </is>
      </c>
    </row>
    <row r="15" ht="16" customHeight="1">
      <c r="D15" s="52" t="inlineStr">
        <is>
          <t>Entry (LTM)</t>
        </is>
      </c>
      <c r="E15" s="52" t="inlineStr">
        <is>
          <t>Year 1</t>
        </is>
      </c>
      <c r="F15" s="52" t="inlineStr">
        <is>
          <t>Year 2</t>
        </is>
      </c>
      <c r="G15" s="52" t="inlineStr">
        <is>
          <t>Year 3</t>
        </is>
      </c>
      <c r="H15" s="52" t="inlineStr">
        <is>
          <t>Year 4</t>
        </is>
      </c>
      <c r="I15" s="52" t="inlineStr">
        <is>
          <t>Year 5</t>
        </is>
      </c>
    </row>
    <row r="16">
      <c r="B16" s="21" t="inlineStr">
        <is>
          <t>Sponsor Equity Cash Flow</t>
        </is>
      </c>
      <c r="D16" s="46">
        <f>-'Investor Returns'!$D$5</f>
        <v/>
      </c>
      <c r="E16" s="46" t="n">
        <v>0</v>
      </c>
      <c r="F16" s="46" t="n">
        <v>0</v>
      </c>
      <c r="G16" s="46" t="n">
        <v>0</v>
      </c>
      <c r="H16" s="46" t="n">
        <v>0</v>
      </c>
      <c r="I16" s="46">
        <f>'Investor Returns'!$D$6</f>
        <v/>
      </c>
    </row>
    <row r="18">
      <c r="B18" s="12" t="inlineStr">
        <is>
          <t>Note: MOIC and IRR are computed only from the sponsor's own equity cash flows (invested at close, returned at exit).</t>
        </is>
      </c>
    </row>
    <row r="19">
      <c r="B19" s="12" t="inlineStr">
        <is>
          <t>No interim dividends or recapitalizations are modeled in the Base Case; the two return measures should reconcile exactly.</t>
        </is>
      </c>
    </row>
  </sheetData>
  <mergeCells count="5">
    <mergeCell ref="B9:E9"/>
    <mergeCell ref="A2:I2"/>
    <mergeCell ref="B4:E4"/>
    <mergeCell ref="A1:I1"/>
    <mergeCell ref="B14:I14"/>
  </mergeCells>
  <printOptions horizontalCentered="0"/>
  <pageMargins left="0.75" right="0.75" top="1" bottom="1" header="0.5" footer="0.5"/>
  <pageSetup orientation="landscape" fitToHeight="0" fitToWidth="1"/>
</worksheet>
</file>

<file path=xl/worksheets/sheet9.xml><?xml version="1.0" encoding="utf-8"?>
<worksheet xmlns="http://schemas.openxmlformats.org/spreadsheetml/2006/main">
  <sheetPr>
    <tabColor rgb="001F3864"/>
    <outlinePr summaryBelow="1" summaryRight="1"/>
    <pageSetUpPr fitToPage="1"/>
  </sheetPr>
  <dimension ref="A1:H40"/>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20" customWidth="1" min="2" max="2"/>
    <col width="12" customWidth="1" min="3" max="3"/>
    <col width="12" customWidth="1" min="4" max="4"/>
    <col width="12" customWidth="1" min="5" max="5"/>
    <col width="12" customWidth="1" min="6" max="6"/>
    <col width="12" customWidth="1" min="7" max="7"/>
    <col width="12" customWidth="1" min="8" max="8"/>
  </cols>
  <sheetData>
    <row r="1" ht="30" customHeight="1">
      <c r="A1" s="13" t="inlineStr">
        <is>
          <t>SENSITIVITY ANALYSIS</t>
        </is>
      </c>
    </row>
    <row r="2" ht="16" customHeight="1">
      <c r="A2" s="14" t="inlineStr">
        <is>
          <t>Four live, formula-driven sensitivity grids  |  Each cell independently recalculates IRR/MOIC — no Excel What-If Data Tables used (more transparent &amp; auditable)</t>
        </is>
      </c>
    </row>
    <row r="4" ht="18" customHeight="1">
      <c r="B4" s="15" t="inlineStr">
        <is>
          <t>Table A — Entry Multiple vs. Exit Multiple  →  IRR</t>
        </is>
      </c>
    </row>
    <row r="5" ht="28" customHeight="1">
      <c r="B5" s="65" t="inlineStr">
        <is>
          <t>Entry ↓ / Exit →</t>
        </is>
      </c>
      <c r="C5" s="66" t="n">
        <v>8</v>
      </c>
      <c r="D5" s="66" t="n">
        <v>9</v>
      </c>
      <c r="E5" s="66" t="n">
        <v>10</v>
      </c>
      <c r="F5" s="66" t="n">
        <v>11</v>
      </c>
      <c r="G5" s="66" t="n">
        <v>12</v>
      </c>
    </row>
    <row r="6">
      <c r="B6" s="67" t="n">
        <v>8</v>
      </c>
      <c r="C6" s="68">
        <f>((((('Exit Analysis'!$D$6*C$5)*(1-Assumptions!$D$38)-'Debt Schedule'!I20+'Debt Schedule'!I25)*((((Assumptions!$D$6*$B6)*(1+Assumptions!$D$31)+Assumptions!$D$32*Assumptions!$D$29+Assumptions!$D$20)-Assumptions!$D$29-Assumptions!$D$33)/((((Assumptions!$D$6*$B6)*(1+Assumptions!$D$31)+Assumptions!$D$32*Assumptions!$D$29+Assumptions!$D$20)-Assumptions!$D$29-Assumptions!$D$33)+Assumptions!$D$33))))/((((Assumptions!$D$6*$B6)*(1+Assumptions!$D$31)+Assumptions!$D$32*Assumptions!$D$29+Assumptions!$D$20)-Assumptions!$D$29-Assumptions!$D$33)))^(1/Assumptions!$D$36)-1</f>
        <v/>
      </c>
      <c r="D6" s="68">
        <f>((((('Exit Analysis'!$D$6*D$5)*(1-Assumptions!$D$38)-'Debt Schedule'!I20+'Debt Schedule'!I25)*((((Assumptions!$D$6*$B6)*(1+Assumptions!$D$31)+Assumptions!$D$32*Assumptions!$D$29+Assumptions!$D$20)-Assumptions!$D$29-Assumptions!$D$33)/((((Assumptions!$D$6*$B6)*(1+Assumptions!$D$31)+Assumptions!$D$32*Assumptions!$D$29+Assumptions!$D$20)-Assumptions!$D$29-Assumptions!$D$33)+Assumptions!$D$33))))/((((Assumptions!$D$6*$B6)*(1+Assumptions!$D$31)+Assumptions!$D$32*Assumptions!$D$29+Assumptions!$D$20)-Assumptions!$D$29-Assumptions!$D$33)))^(1/Assumptions!$D$36)-1</f>
        <v/>
      </c>
      <c r="E6" s="68">
        <f>((((('Exit Analysis'!$D$6*E$5)*(1-Assumptions!$D$38)-'Debt Schedule'!I20+'Debt Schedule'!I25)*((((Assumptions!$D$6*$B6)*(1+Assumptions!$D$31)+Assumptions!$D$32*Assumptions!$D$29+Assumptions!$D$20)-Assumptions!$D$29-Assumptions!$D$33)/((((Assumptions!$D$6*$B6)*(1+Assumptions!$D$31)+Assumptions!$D$32*Assumptions!$D$29+Assumptions!$D$20)-Assumptions!$D$29-Assumptions!$D$33)+Assumptions!$D$33))))/((((Assumptions!$D$6*$B6)*(1+Assumptions!$D$31)+Assumptions!$D$32*Assumptions!$D$29+Assumptions!$D$20)-Assumptions!$D$29-Assumptions!$D$33)))^(1/Assumptions!$D$36)-1</f>
        <v/>
      </c>
      <c r="F6" s="68">
        <f>((((('Exit Analysis'!$D$6*F$5)*(1-Assumptions!$D$38)-'Debt Schedule'!I20+'Debt Schedule'!I25)*((((Assumptions!$D$6*$B6)*(1+Assumptions!$D$31)+Assumptions!$D$32*Assumptions!$D$29+Assumptions!$D$20)-Assumptions!$D$29-Assumptions!$D$33)/((((Assumptions!$D$6*$B6)*(1+Assumptions!$D$31)+Assumptions!$D$32*Assumptions!$D$29+Assumptions!$D$20)-Assumptions!$D$29-Assumptions!$D$33)+Assumptions!$D$33))))/((((Assumptions!$D$6*$B6)*(1+Assumptions!$D$31)+Assumptions!$D$32*Assumptions!$D$29+Assumptions!$D$20)-Assumptions!$D$29-Assumptions!$D$33)))^(1/Assumptions!$D$36)-1</f>
        <v/>
      </c>
      <c r="G6" s="68">
        <f>((((('Exit Analysis'!$D$6*G$5)*(1-Assumptions!$D$38)-'Debt Schedule'!I20+'Debt Schedule'!I25)*((((Assumptions!$D$6*$B6)*(1+Assumptions!$D$31)+Assumptions!$D$32*Assumptions!$D$29+Assumptions!$D$20)-Assumptions!$D$29-Assumptions!$D$33)/((((Assumptions!$D$6*$B6)*(1+Assumptions!$D$31)+Assumptions!$D$32*Assumptions!$D$29+Assumptions!$D$20)-Assumptions!$D$29-Assumptions!$D$33)+Assumptions!$D$33))))/((((Assumptions!$D$6*$B6)*(1+Assumptions!$D$31)+Assumptions!$D$32*Assumptions!$D$29+Assumptions!$D$20)-Assumptions!$D$29-Assumptions!$D$33)))^(1/Assumptions!$D$36)-1</f>
        <v/>
      </c>
    </row>
    <row r="7">
      <c r="B7" s="67" t="n">
        <v>9</v>
      </c>
      <c r="C7" s="68">
        <f>((((('Exit Analysis'!$D$6*C$5)*(1-Assumptions!$D$38)-'Debt Schedule'!I20+'Debt Schedule'!I25)*((((Assumptions!$D$6*$B7)*(1+Assumptions!$D$31)+Assumptions!$D$32*Assumptions!$D$29+Assumptions!$D$20)-Assumptions!$D$29-Assumptions!$D$33)/((((Assumptions!$D$6*$B7)*(1+Assumptions!$D$31)+Assumptions!$D$32*Assumptions!$D$29+Assumptions!$D$20)-Assumptions!$D$29-Assumptions!$D$33)+Assumptions!$D$33))))/((((Assumptions!$D$6*$B7)*(1+Assumptions!$D$31)+Assumptions!$D$32*Assumptions!$D$29+Assumptions!$D$20)-Assumptions!$D$29-Assumptions!$D$33)))^(1/Assumptions!$D$36)-1</f>
        <v/>
      </c>
      <c r="D7" s="68">
        <f>((((('Exit Analysis'!$D$6*D$5)*(1-Assumptions!$D$38)-'Debt Schedule'!I20+'Debt Schedule'!I25)*((((Assumptions!$D$6*$B7)*(1+Assumptions!$D$31)+Assumptions!$D$32*Assumptions!$D$29+Assumptions!$D$20)-Assumptions!$D$29-Assumptions!$D$33)/((((Assumptions!$D$6*$B7)*(1+Assumptions!$D$31)+Assumptions!$D$32*Assumptions!$D$29+Assumptions!$D$20)-Assumptions!$D$29-Assumptions!$D$33)+Assumptions!$D$33))))/((((Assumptions!$D$6*$B7)*(1+Assumptions!$D$31)+Assumptions!$D$32*Assumptions!$D$29+Assumptions!$D$20)-Assumptions!$D$29-Assumptions!$D$33)))^(1/Assumptions!$D$36)-1</f>
        <v/>
      </c>
      <c r="E7" s="68">
        <f>((((('Exit Analysis'!$D$6*E$5)*(1-Assumptions!$D$38)-'Debt Schedule'!I20+'Debt Schedule'!I25)*((((Assumptions!$D$6*$B7)*(1+Assumptions!$D$31)+Assumptions!$D$32*Assumptions!$D$29+Assumptions!$D$20)-Assumptions!$D$29-Assumptions!$D$33)/((((Assumptions!$D$6*$B7)*(1+Assumptions!$D$31)+Assumptions!$D$32*Assumptions!$D$29+Assumptions!$D$20)-Assumptions!$D$29-Assumptions!$D$33)+Assumptions!$D$33))))/((((Assumptions!$D$6*$B7)*(1+Assumptions!$D$31)+Assumptions!$D$32*Assumptions!$D$29+Assumptions!$D$20)-Assumptions!$D$29-Assumptions!$D$33)))^(1/Assumptions!$D$36)-1</f>
        <v/>
      </c>
      <c r="F7" s="68">
        <f>((((('Exit Analysis'!$D$6*F$5)*(1-Assumptions!$D$38)-'Debt Schedule'!I20+'Debt Schedule'!I25)*((((Assumptions!$D$6*$B7)*(1+Assumptions!$D$31)+Assumptions!$D$32*Assumptions!$D$29+Assumptions!$D$20)-Assumptions!$D$29-Assumptions!$D$33)/((((Assumptions!$D$6*$B7)*(1+Assumptions!$D$31)+Assumptions!$D$32*Assumptions!$D$29+Assumptions!$D$20)-Assumptions!$D$29-Assumptions!$D$33)+Assumptions!$D$33))))/((((Assumptions!$D$6*$B7)*(1+Assumptions!$D$31)+Assumptions!$D$32*Assumptions!$D$29+Assumptions!$D$20)-Assumptions!$D$29-Assumptions!$D$33)))^(1/Assumptions!$D$36)-1</f>
        <v/>
      </c>
      <c r="G7" s="68">
        <f>((((('Exit Analysis'!$D$6*G$5)*(1-Assumptions!$D$38)-'Debt Schedule'!I20+'Debt Schedule'!I25)*((((Assumptions!$D$6*$B7)*(1+Assumptions!$D$31)+Assumptions!$D$32*Assumptions!$D$29+Assumptions!$D$20)-Assumptions!$D$29-Assumptions!$D$33)/((((Assumptions!$D$6*$B7)*(1+Assumptions!$D$31)+Assumptions!$D$32*Assumptions!$D$29+Assumptions!$D$20)-Assumptions!$D$29-Assumptions!$D$33)+Assumptions!$D$33))))/((((Assumptions!$D$6*$B7)*(1+Assumptions!$D$31)+Assumptions!$D$32*Assumptions!$D$29+Assumptions!$D$20)-Assumptions!$D$29-Assumptions!$D$33)))^(1/Assumptions!$D$36)-1</f>
        <v/>
      </c>
    </row>
    <row r="8">
      <c r="B8" s="67" t="n">
        <v>10</v>
      </c>
      <c r="C8" s="68">
        <f>((((('Exit Analysis'!$D$6*C$5)*(1-Assumptions!$D$38)-'Debt Schedule'!I20+'Debt Schedule'!I25)*((((Assumptions!$D$6*$B8)*(1+Assumptions!$D$31)+Assumptions!$D$32*Assumptions!$D$29+Assumptions!$D$20)-Assumptions!$D$29-Assumptions!$D$33)/((((Assumptions!$D$6*$B8)*(1+Assumptions!$D$31)+Assumptions!$D$32*Assumptions!$D$29+Assumptions!$D$20)-Assumptions!$D$29-Assumptions!$D$33)+Assumptions!$D$33))))/((((Assumptions!$D$6*$B8)*(1+Assumptions!$D$31)+Assumptions!$D$32*Assumptions!$D$29+Assumptions!$D$20)-Assumptions!$D$29-Assumptions!$D$33)))^(1/Assumptions!$D$36)-1</f>
        <v/>
      </c>
      <c r="D8" s="68">
        <f>((((('Exit Analysis'!$D$6*D$5)*(1-Assumptions!$D$38)-'Debt Schedule'!I20+'Debt Schedule'!I25)*((((Assumptions!$D$6*$B8)*(1+Assumptions!$D$31)+Assumptions!$D$32*Assumptions!$D$29+Assumptions!$D$20)-Assumptions!$D$29-Assumptions!$D$33)/((((Assumptions!$D$6*$B8)*(1+Assumptions!$D$31)+Assumptions!$D$32*Assumptions!$D$29+Assumptions!$D$20)-Assumptions!$D$29-Assumptions!$D$33)+Assumptions!$D$33))))/((((Assumptions!$D$6*$B8)*(1+Assumptions!$D$31)+Assumptions!$D$32*Assumptions!$D$29+Assumptions!$D$20)-Assumptions!$D$29-Assumptions!$D$33)))^(1/Assumptions!$D$36)-1</f>
        <v/>
      </c>
      <c r="E8" s="68">
        <f>((((('Exit Analysis'!$D$6*E$5)*(1-Assumptions!$D$38)-'Debt Schedule'!I20+'Debt Schedule'!I25)*((((Assumptions!$D$6*$B8)*(1+Assumptions!$D$31)+Assumptions!$D$32*Assumptions!$D$29+Assumptions!$D$20)-Assumptions!$D$29-Assumptions!$D$33)/((((Assumptions!$D$6*$B8)*(1+Assumptions!$D$31)+Assumptions!$D$32*Assumptions!$D$29+Assumptions!$D$20)-Assumptions!$D$29-Assumptions!$D$33)+Assumptions!$D$33))))/((((Assumptions!$D$6*$B8)*(1+Assumptions!$D$31)+Assumptions!$D$32*Assumptions!$D$29+Assumptions!$D$20)-Assumptions!$D$29-Assumptions!$D$33)))^(1/Assumptions!$D$36)-1</f>
        <v/>
      </c>
      <c r="F8" s="68">
        <f>((((('Exit Analysis'!$D$6*F$5)*(1-Assumptions!$D$38)-'Debt Schedule'!I20+'Debt Schedule'!I25)*((((Assumptions!$D$6*$B8)*(1+Assumptions!$D$31)+Assumptions!$D$32*Assumptions!$D$29+Assumptions!$D$20)-Assumptions!$D$29-Assumptions!$D$33)/((((Assumptions!$D$6*$B8)*(1+Assumptions!$D$31)+Assumptions!$D$32*Assumptions!$D$29+Assumptions!$D$20)-Assumptions!$D$29-Assumptions!$D$33)+Assumptions!$D$33))))/((((Assumptions!$D$6*$B8)*(1+Assumptions!$D$31)+Assumptions!$D$32*Assumptions!$D$29+Assumptions!$D$20)-Assumptions!$D$29-Assumptions!$D$33)))^(1/Assumptions!$D$36)-1</f>
        <v/>
      </c>
      <c r="G8" s="68">
        <f>((((('Exit Analysis'!$D$6*G$5)*(1-Assumptions!$D$38)-'Debt Schedule'!I20+'Debt Schedule'!I25)*((((Assumptions!$D$6*$B8)*(1+Assumptions!$D$31)+Assumptions!$D$32*Assumptions!$D$29+Assumptions!$D$20)-Assumptions!$D$29-Assumptions!$D$33)/((((Assumptions!$D$6*$B8)*(1+Assumptions!$D$31)+Assumptions!$D$32*Assumptions!$D$29+Assumptions!$D$20)-Assumptions!$D$29-Assumptions!$D$33)+Assumptions!$D$33))))/((((Assumptions!$D$6*$B8)*(1+Assumptions!$D$31)+Assumptions!$D$32*Assumptions!$D$29+Assumptions!$D$20)-Assumptions!$D$29-Assumptions!$D$33)))^(1/Assumptions!$D$36)-1</f>
        <v/>
      </c>
    </row>
    <row r="9">
      <c r="B9" s="67" t="n">
        <v>11</v>
      </c>
      <c r="C9" s="68">
        <f>((((('Exit Analysis'!$D$6*C$5)*(1-Assumptions!$D$38)-'Debt Schedule'!I20+'Debt Schedule'!I25)*((((Assumptions!$D$6*$B9)*(1+Assumptions!$D$31)+Assumptions!$D$32*Assumptions!$D$29+Assumptions!$D$20)-Assumptions!$D$29-Assumptions!$D$33)/((((Assumptions!$D$6*$B9)*(1+Assumptions!$D$31)+Assumptions!$D$32*Assumptions!$D$29+Assumptions!$D$20)-Assumptions!$D$29-Assumptions!$D$33)+Assumptions!$D$33))))/((((Assumptions!$D$6*$B9)*(1+Assumptions!$D$31)+Assumptions!$D$32*Assumptions!$D$29+Assumptions!$D$20)-Assumptions!$D$29-Assumptions!$D$33)))^(1/Assumptions!$D$36)-1</f>
        <v/>
      </c>
      <c r="D9" s="68">
        <f>((((('Exit Analysis'!$D$6*D$5)*(1-Assumptions!$D$38)-'Debt Schedule'!I20+'Debt Schedule'!I25)*((((Assumptions!$D$6*$B9)*(1+Assumptions!$D$31)+Assumptions!$D$32*Assumptions!$D$29+Assumptions!$D$20)-Assumptions!$D$29-Assumptions!$D$33)/((((Assumptions!$D$6*$B9)*(1+Assumptions!$D$31)+Assumptions!$D$32*Assumptions!$D$29+Assumptions!$D$20)-Assumptions!$D$29-Assumptions!$D$33)+Assumptions!$D$33))))/((((Assumptions!$D$6*$B9)*(1+Assumptions!$D$31)+Assumptions!$D$32*Assumptions!$D$29+Assumptions!$D$20)-Assumptions!$D$29-Assumptions!$D$33)))^(1/Assumptions!$D$36)-1</f>
        <v/>
      </c>
      <c r="E9" s="68">
        <f>((((('Exit Analysis'!$D$6*E$5)*(1-Assumptions!$D$38)-'Debt Schedule'!I20+'Debt Schedule'!I25)*((((Assumptions!$D$6*$B9)*(1+Assumptions!$D$31)+Assumptions!$D$32*Assumptions!$D$29+Assumptions!$D$20)-Assumptions!$D$29-Assumptions!$D$33)/((((Assumptions!$D$6*$B9)*(1+Assumptions!$D$31)+Assumptions!$D$32*Assumptions!$D$29+Assumptions!$D$20)-Assumptions!$D$29-Assumptions!$D$33)+Assumptions!$D$33))))/((((Assumptions!$D$6*$B9)*(1+Assumptions!$D$31)+Assumptions!$D$32*Assumptions!$D$29+Assumptions!$D$20)-Assumptions!$D$29-Assumptions!$D$33)))^(1/Assumptions!$D$36)-1</f>
        <v/>
      </c>
      <c r="F9" s="68">
        <f>((((('Exit Analysis'!$D$6*F$5)*(1-Assumptions!$D$38)-'Debt Schedule'!I20+'Debt Schedule'!I25)*((((Assumptions!$D$6*$B9)*(1+Assumptions!$D$31)+Assumptions!$D$32*Assumptions!$D$29+Assumptions!$D$20)-Assumptions!$D$29-Assumptions!$D$33)/((((Assumptions!$D$6*$B9)*(1+Assumptions!$D$31)+Assumptions!$D$32*Assumptions!$D$29+Assumptions!$D$20)-Assumptions!$D$29-Assumptions!$D$33)+Assumptions!$D$33))))/((((Assumptions!$D$6*$B9)*(1+Assumptions!$D$31)+Assumptions!$D$32*Assumptions!$D$29+Assumptions!$D$20)-Assumptions!$D$29-Assumptions!$D$33)))^(1/Assumptions!$D$36)-1</f>
        <v/>
      </c>
      <c r="G9" s="68">
        <f>((((('Exit Analysis'!$D$6*G$5)*(1-Assumptions!$D$38)-'Debt Schedule'!I20+'Debt Schedule'!I25)*((((Assumptions!$D$6*$B9)*(1+Assumptions!$D$31)+Assumptions!$D$32*Assumptions!$D$29+Assumptions!$D$20)-Assumptions!$D$29-Assumptions!$D$33)/((((Assumptions!$D$6*$B9)*(1+Assumptions!$D$31)+Assumptions!$D$32*Assumptions!$D$29+Assumptions!$D$20)-Assumptions!$D$29-Assumptions!$D$33)+Assumptions!$D$33))))/((((Assumptions!$D$6*$B9)*(1+Assumptions!$D$31)+Assumptions!$D$32*Assumptions!$D$29+Assumptions!$D$20)-Assumptions!$D$29-Assumptions!$D$33)))^(1/Assumptions!$D$36)-1</f>
        <v/>
      </c>
    </row>
    <row r="10">
      <c r="B10" s="67" t="n">
        <v>12</v>
      </c>
      <c r="C10" s="68">
        <f>((((('Exit Analysis'!$D$6*C$5)*(1-Assumptions!$D$38)-'Debt Schedule'!I20+'Debt Schedule'!I25)*((((Assumptions!$D$6*$B10)*(1+Assumptions!$D$31)+Assumptions!$D$32*Assumptions!$D$29+Assumptions!$D$20)-Assumptions!$D$29-Assumptions!$D$33)/((((Assumptions!$D$6*$B10)*(1+Assumptions!$D$31)+Assumptions!$D$32*Assumptions!$D$29+Assumptions!$D$20)-Assumptions!$D$29-Assumptions!$D$33)+Assumptions!$D$33))))/((((Assumptions!$D$6*$B10)*(1+Assumptions!$D$31)+Assumptions!$D$32*Assumptions!$D$29+Assumptions!$D$20)-Assumptions!$D$29-Assumptions!$D$33)))^(1/Assumptions!$D$36)-1</f>
        <v/>
      </c>
      <c r="D10" s="68">
        <f>((((('Exit Analysis'!$D$6*D$5)*(1-Assumptions!$D$38)-'Debt Schedule'!I20+'Debt Schedule'!I25)*((((Assumptions!$D$6*$B10)*(1+Assumptions!$D$31)+Assumptions!$D$32*Assumptions!$D$29+Assumptions!$D$20)-Assumptions!$D$29-Assumptions!$D$33)/((((Assumptions!$D$6*$B10)*(1+Assumptions!$D$31)+Assumptions!$D$32*Assumptions!$D$29+Assumptions!$D$20)-Assumptions!$D$29-Assumptions!$D$33)+Assumptions!$D$33))))/((((Assumptions!$D$6*$B10)*(1+Assumptions!$D$31)+Assumptions!$D$32*Assumptions!$D$29+Assumptions!$D$20)-Assumptions!$D$29-Assumptions!$D$33)))^(1/Assumptions!$D$36)-1</f>
        <v/>
      </c>
      <c r="E10" s="68">
        <f>((((('Exit Analysis'!$D$6*E$5)*(1-Assumptions!$D$38)-'Debt Schedule'!I20+'Debt Schedule'!I25)*((((Assumptions!$D$6*$B10)*(1+Assumptions!$D$31)+Assumptions!$D$32*Assumptions!$D$29+Assumptions!$D$20)-Assumptions!$D$29-Assumptions!$D$33)/((((Assumptions!$D$6*$B10)*(1+Assumptions!$D$31)+Assumptions!$D$32*Assumptions!$D$29+Assumptions!$D$20)-Assumptions!$D$29-Assumptions!$D$33)+Assumptions!$D$33))))/((((Assumptions!$D$6*$B10)*(1+Assumptions!$D$31)+Assumptions!$D$32*Assumptions!$D$29+Assumptions!$D$20)-Assumptions!$D$29-Assumptions!$D$33)))^(1/Assumptions!$D$36)-1</f>
        <v/>
      </c>
      <c r="F10" s="68">
        <f>((((('Exit Analysis'!$D$6*F$5)*(1-Assumptions!$D$38)-'Debt Schedule'!I20+'Debt Schedule'!I25)*((((Assumptions!$D$6*$B10)*(1+Assumptions!$D$31)+Assumptions!$D$32*Assumptions!$D$29+Assumptions!$D$20)-Assumptions!$D$29-Assumptions!$D$33)/((((Assumptions!$D$6*$B10)*(1+Assumptions!$D$31)+Assumptions!$D$32*Assumptions!$D$29+Assumptions!$D$20)-Assumptions!$D$29-Assumptions!$D$33)+Assumptions!$D$33))))/((((Assumptions!$D$6*$B10)*(1+Assumptions!$D$31)+Assumptions!$D$32*Assumptions!$D$29+Assumptions!$D$20)-Assumptions!$D$29-Assumptions!$D$33)))^(1/Assumptions!$D$36)-1</f>
        <v/>
      </c>
      <c r="G10" s="68">
        <f>((((('Exit Analysis'!$D$6*G$5)*(1-Assumptions!$D$38)-'Debt Schedule'!I20+'Debt Schedule'!I25)*((((Assumptions!$D$6*$B10)*(1+Assumptions!$D$31)+Assumptions!$D$32*Assumptions!$D$29+Assumptions!$D$20)-Assumptions!$D$29-Assumptions!$D$33)/((((Assumptions!$D$6*$B10)*(1+Assumptions!$D$31)+Assumptions!$D$32*Assumptions!$D$29+Assumptions!$D$20)-Assumptions!$D$29-Assumptions!$D$33)+Assumptions!$D$33))))/((((Assumptions!$D$6*$B10)*(1+Assumptions!$D$31)+Assumptions!$D$32*Assumptions!$D$29+Assumptions!$D$20)-Assumptions!$D$29-Assumptions!$D$33)))^(1/Assumptions!$D$36)-1</f>
        <v/>
      </c>
    </row>
    <row r="11">
      <c r="B11" s="12" t="inlineStr">
        <is>
          <t>Holds new debt at the Base Case dollar amount; exit-year EBITDA uses the currently selected Scenario.</t>
        </is>
      </c>
    </row>
    <row r="13" ht="18" customHeight="1">
      <c r="B13" s="15" t="inlineStr">
        <is>
          <t>Table B — Exit Multiple vs. EBITDA Growth (CAGR)  →  IRR</t>
        </is>
      </c>
    </row>
    <row r="14" ht="28" customHeight="1">
      <c r="B14" s="65" t="inlineStr">
        <is>
          <t>Exit ↓ / Growth →</t>
        </is>
      </c>
      <c r="C14" s="69" t="n">
        <v>0.02</v>
      </c>
      <c r="D14" s="69" t="n">
        <v>0.03</v>
      </c>
      <c r="E14" s="69" t="n">
        <v>0.05</v>
      </c>
      <c r="F14" s="69" t="n">
        <v>0.07000000000000001</v>
      </c>
      <c r="G14" s="69" t="n">
        <v>0.09</v>
      </c>
    </row>
    <row r="15">
      <c r="B15" s="67" t="n">
        <v>8</v>
      </c>
      <c r="C15" s="68">
        <f>((((((Assumptions!$D$6*(1+C$14)^Assumptions!$D$36)*$B15)*(1-Assumptions!$D$38)-'Debt Schedule'!I20+'Debt Schedule'!I25)*('Sources &amp; Uses'!$D$9/('Sources &amp; Uses'!$D$9+Assumptions!$D$33))))/('Sources &amp; Uses'!$D$9))^(1/Assumptions!$D$36)-1</f>
        <v/>
      </c>
      <c r="D15" s="68">
        <f>((((((Assumptions!$D$6*(1+D$14)^Assumptions!$D$36)*$B15)*(1-Assumptions!$D$38)-'Debt Schedule'!I20+'Debt Schedule'!I25)*('Sources &amp; Uses'!$D$9/('Sources &amp; Uses'!$D$9+Assumptions!$D$33))))/('Sources &amp; Uses'!$D$9))^(1/Assumptions!$D$36)-1</f>
        <v/>
      </c>
      <c r="E15" s="68">
        <f>((((((Assumptions!$D$6*(1+E$14)^Assumptions!$D$36)*$B15)*(1-Assumptions!$D$38)-'Debt Schedule'!I20+'Debt Schedule'!I25)*('Sources &amp; Uses'!$D$9/('Sources &amp; Uses'!$D$9+Assumptions!$D$33))))/('Sources &amp; Uses'!$D$9))^(1/Assumptions!$D$36)-1</f>
        <v/>
      </c>
      <c r="F15" s="68">
        <f>((((((Assumptions!$D$6*(1+F$14)^Assumptions!$D$36)*$B15)*(1-Assumptions!$D$38)-'Debt Schedule'!I20+'Debt Schedule'!I25)*('Sources &amp; Uses'!$D$9/('Sources &amp; Uses'!$D$9+Assumptions!$D$33))))/('Sources &amp; Uses'!$D$9))^(1/Assumptions!$D$36)-1</f>
        <v/>
      </c>
      <c r="G15" s="68">
        <f>((((((Assumptions!$D$6*(1+G$14)^Assumptions!$D$36)*$B15)*(1-Assumptions!$D$38)-'Debt Schedule'!I20+'Debt Schedule'!I25)*('Sources &amp; Uses'!$D$9/('Sources &amp; Uses'!$D$9+Assumptions!$D$33))))/('Sources &amp; Uses'!$D$9))^(1/Assumptions!$D$36)-1</f>
        <v/>
      </c>
    </row>
    <row r="16">
      <c r="B16" s="67" t="n">
        <v>9</v>
      </c>
      <c r="C16" s="68">
        <f>((((((Assumptions!$D$6*(1+C$14)^Assumptions!$D$36)*$B16)*(1-Assumptions!$D$38)-'Debt Schedule'!I20+'Debt Schedule'!I25)*('Sources &amp; Uses'!$D$9/('Sources &amp; Uses'!$D$9+Assumptions!$D$33))))/('Sources &amp; Uses'!$D$9))^(1/Assumptions!$D$36)-1</f>
        <v/>
      </c>
      <c r="D16" s="68">
        <f>((((((Assumptions!$D$6*(1+D$14)^Assumptions!$D$36)*$B16)*(1-Assumptions!$D$38)-'Debt Schedule'!I20+'Debt Schedule'!I25)*('Sources &amp; Uses'!$D$9/('Sources &amp; Uses'!$D$9+Assumptions!$D$33))))/('Sources &amp; Uses'!$D$9))^(1/Assumptions!$D$36)-1</f>
        <v/>
      </c>
      <c r="E16" s="68">
        <f>((((((Assumptions!$D$6*(1+E$14)^Assumptions!$D$36)*$B16)*(1-Assumptions!$D$38)-'Debt Schedule'!I20+'Debt Schedule'!I25)*('Sources &amp; Uses'!$D$9/('Sources &amp; Uses'!$D$9+Assumptions!$D$33))))/('Sources &amp; Uses'!$D$9))^(1/Assumptions!$D$36)-1</f>
        <v/>
      </c>
      <c r="F16" s="68">
        <f>((((((Assumptions!$D$6*(1+F$14)^Assumptions!$D$36)*$B16)*(1-Assumptions!$D$38)-'Debt Schedule'!I20+'Debt Schedule'!I25)*('Sources &amp; Uses'!$D$9/('Sources &amp; Uses'!$D$9+Assumptions!$D$33))))/('Sources &amp; Uses'!$D$9))^(1/Assumptions!$D$36)-1</f>
        <v/>
      </c>
      <c r="G16" s="68">
        <f>((((((Assumptions!$D$6*(1+G$14)^Assumptions!$D$36)*$B16)*(1-Assumptions!$D$38)-'Debt Schedule'!I20+'Debt Schedule'!I25)*('Sources &amp; Uses'!$D$9/('Sources &amp; Uses'!$D$9+Assumptions!$D$33))))/('Sources &amp; Uses'!$D$9))^(1/Assumptions!$D$36)-1</f>
        <v/>
      </c>
    </row>
    <row r="17">
      <c r="B17" s="67" t="n">
        <v>10</v>
      </c>
      <c r="C17" s="68">
        <f>((((((Assumptions!$D$6*(1+C$14)^Assumptions!$D$36)*$B17)*(1-Assumptions!$D$38)-'Debt Schedule'!I20+'Debt Schedule'!I25)*('Sources &amp; Uses'!$D$9/('Sources &amp; Uses'!$D$9+Assumptions!$D$33))))/('Sources &amp; Uses'!$D$9))^(1/Assumptions!$D$36)-1</f>
        <v/>
      </c>
      <c r="D17" s="68">
        <f>((((((Assumptions!$D$6*(1+D$14)^Assumptions!$D$36)*$B17)*(1-Assumptions!$D$38)-'Debt Schedule'!I20+'Debt Schedule'!I25)*('Sources &amp; Uses'!$D$9/('Sources &amp; Uses'!$D$9+Assumptions!$D$33))))/('Sources &amp; Uses'!$D$9))^(1/Assumptions!$D$36)-1</f>
        <v/>
      </c>
      <c r="E17" s="68">
        <f>((((((Assumptions!$D$6*(1+E$14)^Assumptions!$D$36)*$B17)*(1-Assumptions!$D$38)-'Debt Schedule'!I20+'Debt Schedule'!I25)*('Sources &amp; Uses'!$D$9/('Sources &amp; Uses'!$D$9+Assumptions!$D$33))))/('Sources &amp; Uses'!$D$9))^(1/Assumptions!$D$36)-1</f>
        <v/>
      </c>
      <c r="F17" s="68">
        <f>((((((Assumptions!$D$6*(1+F$14)^Assumptions!$D$36)*$B17)*(1-Assumptions!$D$38)-'Debt Schedule'!I20+'Debt Schedule'!I25)*('Sources &amp; Uses'!$D$9/('Sources &amp; Uses'!$D$9+Assumptions!$D$33))))/('Sources &amp; Uses'!$D$9))^(1/Assumptions!$D$36)-1</f>
        <v/>
      </c>
      <c r="G17" s="68">
        <f>((((((Assumptions!$D$6*(1+G$14)^Assumptions!$D$36)*$B17)*(1-Assumptions!$D$38)-'Debt Schedule'!I20+'Debt Schedule'!I25)*('Sources &amp; Uses'!$D$9/('Sources &amp; Uses'!$D$9+Assumptions!$D$33))))/('Sources &amp; Uses'!$D$9))^(1/Assumptions!$D$36)-1</f>
        <v/>
      </c>
    </row>
    <row r="18">
      <c r="B18" s="67" t="n">
        <v>11</v>
      </c>
      <c r="C18" s="68">
        <f>((((((Assumptions!$D$6*(1+C$14)^Assumptions!$D$36)*$B18)*(1-Assumptions!$D$38)-'Debt Schedule'!I20+'Debt Schedule'!I25)*('Sources &amp; Uses'!$D$9/('Sources &amp; Uses'!$D$9+Assumptions!$D$33))))/('Sources &amp; Uses'!$D$9))^(1/Assumptions!$D$36)-1</f>
        <v/>
      </c>
      <c r="D18" s="68">
        <f>((((((Assumptions!$D$6*(1+D$14)^Assumptions!$D$36)*$B18)*(1-Assumptions!$D$38)-'Debt Schedule'!I20+'Debt Schedule'!I25)*('Sources &amp; Uses'!$D$9/('Sources &amp; Uses'!$D$9+Assumptions!$D$33))))/('Sources &amp; Uses'!$D$9))^(1/Assumptions!$D$36)-1</f>
        <v/>
      </c>
      <c r="E18" s="68">
        <f>((((((Assumptions!$D$6*(1+E$14)^Assumptions!$D$36)*$B18)*(1-Assumptions!$D$38)-'Debt Schedule'!I20+'Debt Schedule'!I25)*('Sources &amp; Uses'!$D$9/('Sources &amp; Uses'!$D$9+Assumptions!$D$33))))/('Sources &amp; Uses'!$D$9))^(1/Assumptions!$D$36)-1</f>
        <v/>
      </c>
      <c r="F18" s="68">
        <f>((((((Assumptions!$D$6*(1+F$14)^Assumptions!$D$36)*$B18)*(1-Assumptions!$D$38)-'Debt Schedule'!I20+'Debt Schedule'!I25)*('Sources &amp; Uses'!$D$9/('Sources &amp; Uses'!$D$9+Assumptions!$D$33))))/('Sources &amp; Uses'!$D$9))^(1/Assumptions!$D$36)-1</f>
        <v/>
      </c>
      <c r="G18" s="68">
        <f>((((((Assumptions!$D$6*(1+G$14)^Assumptions!$D$36)*$B18)*(1-Assumptions!$D$38)-'Debt Schedule'!I20+'Debt Schedule'!I25)*('Sources &amp; Uses'!$D$9/('Sources &amp; Uses'!$D$9+Assumptions!$D$33))))/('Sources &amp; Uses'!$D$9))^(1/Assumptions!$D$36)-1</f>
        <v/>
      </c>
    </row>
    <row r="19">
      <c r="B19" s="12" t="inlineStr">
        <is>
          <t>Holds entry structure &amp; debt paydown at Base Case; Exit EBITDA = Entry EBITDA × (1+g)^holding period.</t>
        </is>
      </c>
    </row>
    <row r="21" ht="18" customHeight="1">
      <c r="B21" s="15" t="inlineStr">
        <is>
          <t>Table C — Entry Leverage (Debt / EBITDA) vs. Exit Multiple  →  IRR</t>
        </is>
      </c>
    </row>
    <row r="22" ht="28" customHeight="1">
      <c r="B22" s="65" t="inlineStr">
        <is>
          <t>Leverage ↓ / Exit →</t>
        </is>
      </c>
      <c r="C22" s="66" t="n">
        <v>8</v>
      </c>
      <c r="D22" s="66" t="n">
        <v>9</v>
      </c>
      <c r="E22" s="66" t="n">
        <v>10</v>
      </c>
      <c r="F22" s="66" t="n">
        <v>11</v>
      </c>
    </row>
    <row r="23">
      <c r="B23" s="67" t="n">
        <v>5</v>
      </c>
      <c r="C23" s="68">
        <f>((((('Exit Analysis'!$D$6*C$22)*(1-Assumptions!$D$38)-MAX((Assumptions!$D$6*$B23)-(Assumptions!$D$29-'Debt Schedule'!I20),0)+'Debt Schedule'!I25)*(((Assumptions!$D$9*(1+Assumptions!$D$31)+Assumptions!$D$32*(Assumptions!$D$6*$B23)+Assumptions!$D$20)-(Assumptions!$D$6*$B23)-Assumptions!$D$33)/(((Assumptions!$D$9*(1+Assumptions!$D$31)+Assumptions!$D$32*(Assumptions!$D$6*$B23)+Assumptions!$D$20)-(Assumptions!$D$6*$B23)-Assumptions!$D$33)+Assumptions!$D$33))))/(((Assumptions!$D$9*(1+Assumptions!$D$31)+Assumptions!$D$32*(Assumptions!$D$6*$B23)+Assumptions!$D$20)-(Assumptions!$D$6*$B23)-Assumptions!$D$33)))^(1/Assumptions!$D$36)-1</f>
        <v/>
      </c>
      <c r="D23" s="68">
        <f>((((('Exit Analysis'!$D$6*D$22)*(1-Assumptions!$D$38)-MAX((Assumptions!$D$6*$B23)-(Assumptions!$D$29-'Debt Schedule'!I20),0)+'Debt Schedule'!I25)*(((Assumptions!$D$9*(1+Assumptions!$D$31)+Assumptions!$D$32*(Assumptions!$D$6*$B23)+Assumptions!$D$20)-(Assumptions!$D$6*$B23)-Assumptions!$D$33)/(((Assumptions!$D$9*(1+Assumptions!$D$31)+Assumptions!$D$32*(Assumptions!$D$6*$B23)+Assumptions!$D$20)-(Assumptions!$D$6*$B23)-Assumptions!$D$33)+Assumptions!$D$33))))/(((Assumptions!$D$9*(1+Assumptions!$D$31)+Assumptions!$D$32*(Assumptions!$D$6*$B23)+Assumptions!$D$20)-(Assumptions!$D$6*$B23)-Assumptions!$D$33)))^(1/Assumptions!$D$36)-1</f>
        <v/>
      </c>
      <c r="E23" s="68">
        <f>((((('Exit Analysis'!$D$6*E$22)*(1-Assumptions!$D$38)-MAX((Assumptions!$D$6*$B23)-(Assumptions!$D$29-'Debt Schedule'!I20),0)+'Debt Schedule'!I25)*(((Assumptions!$D$9*(1+Assumptions!$D$31)+Assumptions!$D$32*(Assumptions!$D$6*$B23)+Assumptions!$D$20)-(Assumptions!$D$6*$B23)-Assumptions!$D$33)/(((Assumptions!$D$9*(1+Assumptions!$D$31)+Assumptions!$D$32*(Assumptions!$D$6*$B23)+Assumptions!$D$20)-(Assumptions!$D$6*$B23)-Assumptions!$D$33)+Assumptions!$D$33))))/(((Assumptions!$D$9*(1+Assumptions!$D$31)+Assumptions!$D$32*(Assumptions!$D$6*$B23)+Assumptions!$D$20)-(Assumptions!$D$6*$B23)-Assumptions!$D$33)))^(1/Assumptions!$D$36)-1</f>
        <v/>
      </c>
      <c r="F23" s="68">
        <f>((((('Exit Analysis'!$D$6*F$22)*(1-Assumptions!$D$38)-MAX((Assumptions!$D$6*$B23)-(Assumptions!$D$29-'Debt Schedule'!I20),0)+'Debt Schedule'!I25)*(((Assumptions!$D$9*(1+Assumptions!$D$31)+Assumptions!$D$32*(Assumptions!$D$6*$B23)+Assumptions!$D$20)-(Assumptions!$D$6*$B23)-Assumptions!$D$33)/(((Assumptions!$D$9*(1+Assumptions!$D$31)+Assumptions!$D$32*(Assumptions!$D$6*$B23)+Assumptions!$D$20)-(Assumptions!$D$6*$B23)-Assumptions!$D$33)+Assumptions!$D$33))))/(((Assumptions!$D$9*(1+Assumptions!$D$31)+Assumptions!$D$32*(Assumptions!$D$6*$B23)+Assumptions!$D$20)-(Assumptions!$D$6*$B23)-Assumptions!$D$33)))^(1/Assumptions!$D$36)-1</f>
        <v/>
      </c>
    </row>
    <row r="24">
      <c r="B24" s="67" t="n">
        <v>6</v>
      </c>
      <c r="C24" s="68">
        <f>((((('Exit Analysis'!$D$6*C$22)*(1-Assumptions!$D$38)-MAX((Assumptions!$D$6*$B24)-(Assumptions!$D$29-'Debt Schedule'!I20),0)+'Debt Schedule'!I25)*(((Assumptions!$D$9*(1+Assumptions!$D$31)+Assumptions!$D$32*(Assumptions!$D$6*$B24)+Assumptions!$D$20)-(Assumptions!$D$6*$B24)-Assumptions!$D$33)/(((Assumptions!$D$9*(1+Assumptions!$D$31)+Assumptions!$D$32*(Assumptions!$D$6*$B24)+Assumptions!$D$20)-(Assumptions!$D$6*$B24)-Assumptions!$D$33)+Assumptions!$D$33))))/(((Assumptions!$D$9*(1+Assumptions!$D$31)+Assumptions!$D$32*(Assumptions!$D$6*$B24)+Assumptions!$D$20)-(Assumptions!$D$6*$B24)-Assumptions!$D$33)))^(1/Assumptions!$D$36)-1</f>
        <v/>
      </c>
      <c r="D24" s="68">
        <f>((((('Exit Analysis'!$D$6*D$22)*(1-Assumptions!$D$38)-MAX((Assumptions!$D$6*$B24)-(Assumptions!$D$29-'Debt Schedule'!I20),0)+'Debt Schedule'!I25)*(((Assumptions!$D$9*(1+Assumptions!$D$31)+Assumptions!$D$32*(Assumptions!$D$6*$B24)+Assumptions!$D$20)-(Assumptions!$D$6*$B24)-Assumptions!$D$33)/(((Assumptions!$D$9*(1+Assumptions!$D$31)+Assumptions!$D$32*(Assumptions!$D$6*$B24)+Assumptions!$D$20)-(Assumptions!$D$6*$B24)-Assumptions!$D$33)+Assumptions!$D$33))))/(((Assumptions!$D$9*(1+Assumptions!$D$31)+Assumptions!$D$32*(Assumptions!$D$6*$B24)+Assumptions!$D$20)-(Assumptions!$D$6*$B24)-Assumptions!$D$33)))^(1/Assumptions!$D$36)-1</f>
        <v/>
      </c>
      <c r="E24" s="68">
        <f>((((('Exit Analysis'!$D$6*E$22)*(1-Assumptions!$D$38)-MAX((Assumptions!$D$6*$B24)-(Assumptions!$D$29-'Debt Schedule'!I20),0)+'Debt Schedule'!I25)*(((Assumptions!$D$9*(1+Assumptions!$D$31)+Assumptions!$D$32*(Assumptions!$D$6*$B24)+Assumptions!$D$20)-(Assumptions!$D$6*$B24)-Assumptions!$D$33)/(((Assumptions!$D$9*(1+Assumptions!$D$31)+Assumptions!$D$32*(Assumptions!$D$6*$B24)+Assumptions!$D$20)-(Assumptions!$D$6*$B24)-Assumptions!$D$33)+Assumptions!$D$33))))/(((Assumptions!$D$9*(1+Assumptions!$D$31)+Assumptions!$D$32*(Assumptions!$D$6*$B24)+Assumptions!$D$20)-(Assumptions!$D$6*$B24)-Assumptions!$D$33)))^(1/Assumptions!$D$36)-1</f>
        <v/>
      </c>
      <c r="F24" s="68">
        <f>((((('Exit Analysis'!$D$6*F$22)*(1-Assumptions!$D$38)-MAX((Assumptions!$D$6*$B24)-(Assumptions!$D$29-'Debt Schedule'!I20),0)+'Debt Schedule'!I25)*(((Assumptions!$D$9*(1+Assumptions!$D$31)+Assumptions!$D$32*(Assumptions!$D$6*$B24)+Assumptions!$D$20)-(Assumptions!$D$6*$B24)-Assumptions!$D$33)/(((Assumptions!$D$9*(1+Assumptions!$D$31)+Assumptions!$D$32*(Assumptions!$D$6*$B24)+Assumptions!$D$20)-(Assumptions!$D$6*$B24)-Assumptions!$D$33)+Assumptions!$D$33))))/(((Assumptions!$D$9*(1+Assumptions!$D$31)+Assumptions!$D$32*(Assumptions!$D$6*$B24)+Assumptions!$D$20)-(Assumptions!$D$6*$B24)-Assumptions!$D$33)))^(1/Assumptions!$D$36)-1</f>
        <v/>
      </c>
    </row>
    <row r="25">
      <c r="B25" s="67" t="n">
        <v>7</v>
      </c>
      <c r="C25" s="68">
        <f>((((('Exit Analysis'!$D$6*C$22)*(1-Assumptions!$D$38)-MAX((Assumptions!$D$6*$B25)-(Assumptions!$D$29-'Debt Schedule'!I20),0)+'Debt Schedule'!I25)*(((Assumptions!$D$9*(1+Assumptions!$D$31)+Assumptions!$D$32*(Assumptions!$D$6*$B25)+Assumptions!$D$20)-(Assumptions!$D$6*$B25)-Assumptions!$D$33)/(((Assumptions!$D$9*(1+Assumptions!$D$31)+Assumptions!$D$32*(Assumptions!$D$6*$B25)+Assumptions!$D$20)-(Assumptions!$D$6*$B25)-Assumptions!$D$33)+Assumptions!$D$33))))/(((Assumptions!$D$9*(1+Assumptions!$D$31)+Assumptions!$D$32*(Assumptions!$D$6*$B25)+Assumptions!$D$20)-(Assumptions!$D$6*$B25)-Assumptions!$D$33)))^(1/Assumptions!$D$36)-1</f>
        <v/>
      </c>
      <c r="D25" s="68">
        <f>((((('Exit Analysis'!$D$6*D$22)*(1-Assumptions!$D$38)-MAX((Assumptions!$D$6*$B25)-(Assumptions!$D$29-'Debt Schedule'!I20),0)+'Debt Schedule'!I25)*(((Assumptions!$D$9*(1+Assumptions!$D$31)+Assumptions!$D$32*(Assumptions!$D$6*$B25)+Assumptions!$D$20)-(Assumptions!$D$6*$B25)-Assumptions!$D$33)/(((Assumptions!$D$9*(1+Assumptions!$D$31)+Assumptions!$D$32*(Assumptions!$D$6*$B25)+Assumptions!$D$20)-(Assumptions!$D$6*$B25)-Assumptions!$D$33)+Assumptions!$D$33))))/(((Assumptions!$D$9*(1+Assumptions!$D$31)+Assumptions!$D$32*(Assumptions!$D$6*$B25)+Assumptions!$D$20)-(Assumptions!$D$6*$B25)-Assumptions!$D$33)))^(1/Assumptions!$D$36)-1</f>
        <v/>
      </c>
      <c r="E25" s="68">
        <f>((((('Exit Analysis'!$D$6*E$22)*(1-Assumptions!$D$38)-MAX((Assumptions!$D$6*$B25)-(Assumptions!$D$29-'Debt Schedule'!I20),0)+'Debt Schedule'!I25)*(((Assumptions!$D$9*(1+Assumptions!$D$31)+Assumptions!$D$32*(Assumptions!$D$6*$B25)+Assumptions!$D$20)-(Assumptions!$D$6*$B25)-Assumptions!$D$33)/(((Assumptions!$D$9*(1+Assumptions!$D$31)+Assumptions!$D$32*(Assumptions!$D$6*$B25)+Assumptions!$D$20)-(Assumptions!$D$6*$B25)-Assumptions!$D$33)+Assumptions!$D$33))))/(((Assumptions!$D$9*(1+Assumptions!$D$31)+Assumptions!$D$32*(Assumptions!$D$6*$B25)+Assumptions!$D$20)-(Assumptions!$D$6*$B25)-Assumptions!$D$33)))^(1/Assumptions!$D$36)-1</f>
        <v/>
      </c>
      <c r="F25" s="68">
        <f>((((('Exit Analysis'!$D$6*F$22)*(1-Assumptions!$D$38)-MAX((Assumptions!$D$6*$B25)-(Assumptions!$D$29-'Debt Schedule'!I20),0)+'Debt Schedule'!I25)*(((Assumptions!$D$9*(1+Assumptions!$D$31)+Assumptions!$D$32*(Assumptions!$D$6*$B25)+Assumptions!$D$20)-(Assumptions!$D$6*$B25)-Assumptions!$D$33)/(((Assumptions!$D$9*(1+Assumptions!$D$31)+Assumptions!$D$32*(Assumptions!$D$6*$B25)+Assumptions!$D$20)-(Assumptions!$D$6*$B25)-Assumptions!$D$33)+Assumptions!$D$33))))/(((Assumptions!$D$9*(1+Assumptions!$D$31)+Assumptions!$D$32*(Assumptions!$D$6*$B25)+Assumptions!$D$20)-(Assumptions!$D$6*$B25)-Assumptions!$D$33)))^(1/Assumptions!$D$36)-1</f>
        <v/>
      </c>
    </row>
    <row r="26">
      <c r="B26" s="67" t="n">
        <v>8</v>
      </c>
      <c r="C26" s="68">
        <f>((((('Exit Analysis'!$D$6*C$22)*(1-Assumptions!$D$38)-MAX((Assumptions!$D$6*$B26)-(Assumptions!$D$29-'Debt Schedule'!I20),0)+'Debt Schedule'!I25)*(((Assumptions!$D$9*(1+Assumptions!$D$31)+Assumptions!$D$32*(Assumptions!$D$6*$B26)+Assumptions!$D$20)-(Assumptions!$D$6*$B26)-Assumptions!$D$33)/(((Assumptions!$D$9*(1+Assumptions!$D$31)+Assumptions!$D$32*(Assumptions!$D$6*$B26)+Assumptions!$D$20)-(Assumptions!$D$6*$B26)-Assumptions!$D$33)+Assumptions!$D$33))))/(((Assumptions!$D$9*(1+Assumptions!$D$31)+Assumptions!$D$32*(Assumptions!$D$6*$B26)+Assumptions!$D$20)-(Assumptions!$D$6*$B26)-Assumptions!$D$33)))^(1/Assumptions!$D$36)-1</f>
        <v/>
      </c>
      <c r="D26" s="68">
        <f>((((('Exit Analysis'!$D$6*D$22)*(1-Assumptions!$D$38)-MAX((Assumptions!$D$6*$B26)-(Assumptions!$D$29-'Debt Schedule'!I20),0)+'Debt Schedule'!I25)*(((Assumptions!$D$9*(1+Assumptions!$D$31)+Assumptions!$D$32*(Assumptions!$D$6*$B26)+Assumptions!$D$20)-(Assumptions!$D$6*$B26)-Assumptions!$D$33)/(((Assumptions!$D$9*(1+Assumptions!$D$31)+Assumptions!$D$32*(Assumptions!$D$6*$B26)+Assumptions!$D$20)-(Assumptions!$D$6*$B26)-Assumptions!$D$33)+Assumptions!$D$33))))/(((Assumptions!$D$9*(1+Assumptions!$D$31)+Assumptions!$D$32*(Assumptions!$D$6*$B26)+Assumptions!$D$20)-(Assumptions!$D$6*$B26)-Assumptions!$D$33)))^(1/Assumptions!$D$36)-1</f>
        <v/>
      </c>
      <c r="E26" s="68">
        <f>((((('Exit Analysis'!$D$6*E$22)*(1-Assumptions!$D$38)-MAX((Assumptions!$D$6*$B26)-(Assumptions!$D$29-'Debt Schedule'!I20),0)+'Debt Schedule'!I25)*(((Assumptions!$D$9*(1+Assumptions!$D$31)+Assumptions!$D$32*(Assumptions!$D$6*$B26)+Assumptions!$D$20)-(Assumptions!$D$6*$B26)-Assumptions!$D$33)/(((Assumptions!$D$9*(1+Assumptions!$D$31)+Assumptions!$D$32*(Assumptions!$D$6*$B26)+Assumptions!$D$20)-(Assumptions!$D$6*$B26)-Assumptions!$D$33)+Assumptions!$D$33))))/(((Assumptions!$D$9*(1+Assumptions!$D$31)+Assumptions!$D$32*(Assumptions!$D$6*$B26)+Assumptions!$D$20)-(Assumptions!$D$6*$B26)-Assumptions!$D$33)))^(1/Assumptions!$D$36)-1</f>
        <v/>
      </c>
      <c r="F26" s="68">
        <f>((((('Exit Analysis'!$D$6*F$22)*(1-Assumptions!$D$38)-MAX((Assumptions!$D$6*$B26)-(Assumptions!$D$29-'Debt Schedule'!I20),0)+'Debt Schedule'!I25)*(((Assumptions!$D$9*(1+Assumptions!$D$31)+Assumptions!$D$32*(Assumptions!$D$6*$B26)+Assumptions!$D$20)-(Assumptions!$D$6*$B26)-Assumptions!$D$33)/(((Assumptions!$D$9*(1+Assumptions!$D$31)+Assumptions!$D$32*(Assumptions!$D$6*$B26)+Assumptions!$D$20)-(Assumptions!$D$6*$B26)-Assumptions!$D$33)+Assumptions!$D$33))))/(((Assumptions!$D$9*(1+Assumptions!$D$31)+Assumptions!$D$32*(Assumptions!$D$6*$B26)+Assumptions!$D$20)-(Assumptions!$D$6*$B26)-Assumptions!$D$33)))^(1/Assumptions!$D$36)-1</f>
        <v/>
      </c>
    </row>
    <row r="27">
      <c r="B27" s="67" t="n">
        <v>9</v>
      </c>
      <c r="C27" s="68">
        <f>((((('Exit Analysis'!$D$6*C$22)*(1-Assumptions!$D$38)-MAX((Assumptions!$D$6*$B27)-(Assumptions!$D$29-'Debt Schedule'!I20),0)+'Debt Schedule'!I25)*(((Assumptions!$D$9*(1+Assumptions!$D$31)+Assumptions!$D$32*(Assumptions!$D$6*$B27)+Assumptions!$D$20)-(Assumptions!$D$6*$B27)-Assumptions!$D$33)/(((Assumptions!$D$9*(1+Assumptions!$D$31)+Assumptions!$D$32*(Assumptions!$D$6*$B27)+Assumptions!$D$20)-(Assumptions!$D$6*$B27)-Assumptions!$D$33)+Assumptions!$D$33))))/(((Assumptions!$D$9*(1+Assumptions!$D$31)+Assumptions!$D$32*(Assumptions!$D$6*$B27)+Assumptions!$D$20)-(Assumptions!$D$6*$B27)-Assumptions!$D$33)))^(1/Assumptions!$D$36)-1</f>
        <v/>
      </c>
      <c r="D27" s="68">
        <f>((((('Exit Analysis'!$D$6*D$22)*(1-Assumptions!$D$38)-MAX((Assumptions!$D$6*$B27)-(Assumptions!$D$29-'Debt Schedule'!I20),0)+'Debt Schedule'!I25)*(((Assumptions!$D$9*(1+Assumptions!$D$31)+Assumptions!$D$32*(Assumptions!$D$6*$B27)+Assumptions!$D$20)-(Assumptions!$D$6*$B27)-Assumptions!$D$33)/(((Assumptions!$D$9*(1+Assumptions!$D$31)+Assumptions!$D$32*(Assumptions!$D$6*$B27)+Assumptions!$D$20)-(Assumptions!$D$6*$B27)-Assumptions!$D$33)+Assumptions!$D$33))))/(((Assumptions!$D$9*(1+Assumptions!$D$31)+Assumptions!$D$32*(Assumptions!$D$6*$B27)+Assumptions!$D$20)-(Assumptions!$D$6*$B27)-Assumptions!$D$33)))^(1/Assumptions!$D$36)-1</f>
        <v/>
      </c>
      <c r="E27" s="68">
        <f>((((('Exit Analysis'!$D$6*E$22)*(1-Assumptions!$D$38)-MAX((Assumptions!$D$6*$B27)-(Assumptions!$D$29-'Debt Schedule'!I20),0)+'Debt Schedule'!I25)*(((Assumptions!$D$9*(1+Assumptions!$D$31)+Assumptions!$D$32*(Assumptions!$D$6*$B27)+Assumptions!$D$20)-(Assumptions!$D$6*$B27)-Assumptions!$D$33)/(((Assumptions!$D$9*(1+Assumptions!$D$31)+Assumptions!$D$32*(Assumptions!$D$6*$B27)+Assumptions!$D$20)-(Assumptions!$D$6*$B27)-Assumptions!$D$33)+Assumptions!$D$33))))/(((Assumptions!$D$9*(1+Assumptions!$D$31)+Assumptions!$D$32*(Assumptions!$D$6*$B27)+Assumptions!$D$20)-(Assumptions!$D$6*$B27)-Assumptions!$D$33)))^(1/Assumptions!$D$36)-1</f>
        <v/>
      </c>
      <c r="F27" s="68">
        <f>((((('Exit Analysis'!$D$6*F$22)*(1-Assumptions!$D$38)-MAX((Assumptions!$D$6*$B27)-(Assumptions!$D$29-'Debt Schedule'!I20),0)+'Debt Schedule'!I25)*(((Assumptions!$D$9*(1+Assumptions!$D$31)+Assumptions!$D$32*(Assumptions!$D$6*$B27)+Assumptions!$D$20)-(Assumptions!$D$6*$B27)-Assumptions!$D$33)/(((Assumptions!$D$9*(1+Assumptions!$D$31)+Assumptions!$D$32*(Assumptions!$D$6*$B27)+Assumptions!$D$20)-(Assumptions!$D$6*$B27)-Assumptions!$D$33)+Assumptions!$D$33))))/(((Assumptions!$D$9*(1+Assumptions!$D$31)+Assumptions!$D$32*(Assumptions!$D$6*$B27)+Assumptions!$D$20)-(Assumptions!$D$6*$B27)-Assumptions!$D$33)))^(1/Assumptions!$D$36)-1</f>
        <v/>
      </c>
    </row>
    <row r="28">
      <c r="B28" s="12" t="inlineStr">
        <is>
          <t>Holds entry EV fixed; remaining debt at exit approximated using the Base Case dollar amount of debt paydown.</t>
        </is>
      </c>
    </row>
    <row r="30" ht="18" customHeight="1">
      <c r="B30" s="15" t="inlineStr">
        <is>
          <t>Table D — Exit Multiple vs. EBITDA Growth (CAGR)  →  MOIC</t>
        </is>
      </c>
    </row>
    <row r="31" ht="28" customHeight="1">
      <c r="B31" s="65" t="inlineStr">
        <is>
          <t>Exit ↓ / Growth →</t>
        </is>
      </c>
      <c r="C31" s="69" t="n">
        <v>0.02</v>
      </c>
      <c r="D31" s="69" t="n">
        <v>0.03</v>
      </c>
      <c r="E31" s="69" t="n">
        <v>0.05</v>
      </c>
      <c r="F31" s="69" t="n">
        <v>0.07000000000000001</v>
      </c>
      <c r="G31" s="69" t="n">
        <v>0.09</v>
      </c>
    </row>
    <row r="32">
      <c r="B32" s="67" t="n">
        <v>8</v>
      </c>
      <c r="C32" s="70">
        <f>(((((Assumptions!$D$6*(1+C$31)^Assumptions!$D$36)*$B32)*(1-Assumptions!$D$38)-'Debt Schedule'!I20+'Debt Schedule'!I25)*('Sources &amp; Uses'!$D$9/('Sources &amp; Uses'!$D$9+Assumptions!$D$33))))/('Sources &amp; Uses'!$D$9)</f>
        <v/>
      </c>
      <c r="D32" s="70">
        <f>(((((Assumptions!$D$6*(1+D$31)^Assumptions!$D$36)*$B32)*(1-Assumptions!$D$38)-'Debt Schedule'!I20+'Debt Schedule'!I25)*('Sources &amp; Uses'!$D$9/('Sources &amp; Uses'!$D$9+Assumptions!$D$33))))/('Sources &amp; Uses'!$D$9)</f>
        <v/>
      </c>
      <c r="E32" s="70">
        <f>(((((Assumptions!$D$6*(1+E$31)^Assumptions!$D$36)*$B32)*(1-Assumptions!$D$38)-'Debt Schedule'!I20+'Debt Schedule'!I25)*('Sources &amp; Uses'!$D$9/('Sources &amp; Uses'!$D$9+Assumptions!$D$33))))/('Sources &amp; Uses'!$D$9)</f>
        <v/>
      </c>
      <c r="F32" s="70">
        <f>(((((Assumptions!$D$6*(1+F$31)^Assumptions!$D$36)*$B32)*(1-Assumptions!$D$38)-'Debt Schedule'!I20+'Debt Schedule'!I25)*('Sources &amp; Uses'!$D$9/('Sources &amp; Uses'!$D$9+Assumptions!$D$33))))/('Sources &amp; Uses'!$D$9)</f>
        <v/>
      </c>
      <c r="G32" s="70">
        <f>(((((Assumptions!$D$6*(1+G$31)^Assumptions!$D$36)*$B32)*(1-Assumptions!$D$38)-'Debt Schedule'!I20+'Debt Schedule'!I25)*('Sources &amp; Uses'!$D$9/('Sources &amp; Uses'!$D$9+Assumptions!$D$33))))/('Sources &amp; Uses'!$D$9)</f>
        <v/>
      </c>
    </row>
    <row r="33">
      <c r="B33" s="67" t="n">
        <v>9</v>
      </c>
      <c r="C33" s="70">
        <f>(((((Assumptions!$D$6*(1+C$31)^Assumptions!$D$36)*$B33)*(1-Assumptions!$D$38)-'Debt Schedule'!I20+'Debt Schedule'!I25)*('Sources &amp; Uses'!$D$9/('Sources &amp; Uses'!$D$9+Assumptions!$D$33))))/('Sources &amp; Uses'!$D$9)</f>
        <v/>
      </c>
      <c r="D33" s="70">
        <f>(((((Assumptions!$D$6*(1+D$31)^Assumptions!$D$36)*$B33)*(1-Assumptions!$D$38)-'Debt Schedule'!I20+'Debt Schedule'!I25)*('Sources &amp; Uses'!$D$9/('Sources &amp; Uses'!$D$9+Assumptions!$D$33))))/('Sources &amp; Uses'!$D$9)</f>
        <v/>
      </c>
      <c r="E33" s="70">
        <f>(((((Assumptions!$D$6*(1+E$31)^Assumptions!$D$36)*$B33)*(1-Assumptions!$D$38)-'Debt Schedule'!I20+'Debt Schedule'!I25)*('Sources &amp; Uses'!$D$9/('Sources &amp; Uses'!$D$9+Assumptions!$D$33))))/('Sources &amp; Uses'!$D$9)</f>
        <v/>
      </c>
      <c r="F33" s="70">
        <f>(((((Assumptions!$D$6*(1+F$31)^Assumptions!$D$36)*$B33)*(1-Assumptions!$D$38)-'Debt Schedule'!I20+'Debt Schedule'!I25)*('Sources &amp; Uses'!$D$9/('Sources &amp; Uses'!$D$9+Assumptions!$D$33))))/('Sources &amp; Uses'!$D$9)</f>
        <v/>
      </c>
      <c r="G33" s="70">
        <f>(((((Assumptions!$D$6*(1+G$31)^Assumptions!$D$36)*$B33)*(1-Assumptions!$D$38)-'Debt Schedule'!I20+'Debt Schedule'!I25)*('Sources &amp; Uses'!$D$9/('Sources &amp; Uses'!$D$9+Assumptions!$D$33))))/('Sources &amp; Uses'!$D$9)</f>
        <v/>
      </c>
    </row>
    <row r="34">
      <c r="B34" s="67" t="n">
        <v>10</v>
      </c>
      <c r="C34" s="70">
        <f>(((((Assumptions!$D$6*(1+C$31)^Assumptions!$D$36)*$B34)*(1-Assumptions!$D$38)-'Debt Schedule'!I20+'Debt Schedule'!I25)*('Sources &amp; Uses'!$D$9/('Sources &amp; Uses'!$D$9+Assumptions!$D$33))))/('Sources &amp; Uses'!$D$9)</f>
        <v/>
      </c>
      <c r="D34" s="70">
        <f>(((((Assumptions!$D$6*(1+D$31)^Assumptions!$D$36)*$B34)*(1-Assumptions!$D$38)-'Debt Schedule'!I20+'Debt Schedule'!I25)*('Sources &amp; Uses'!$D$9/('Sources &amp; Uses'!$D$9+Assumptions!$D$33))))/('Sources &amp; Uses'!$D$9)</f>
        <v/>
      </c>
      <c r="E34" s="70">
        <f>(((((Assumptions!$D$6*(1+E$31)^Assumptions!$D$36)*$B34)*(1-Assumptions!$D$38)-'Debt Schedule'!I20+'Debt Schedule'!I25)*('Sources &amp; Uses'!$D$9/('Sources &amp; Uses'!$D$9+Assumptions!$D$33))))/('Sources &amp; Uses'!$D$9)</f>
        <v/>
      </c>
      <c r="F34" s="70">
        <f>(((((Assumptions!$D$6*(1+F$31)^Assumptions!$D$36)*$B34)*(1-Assumptions!$D$38)-'Debt Schedule'!I20+'Debt Schedule'!I25)*('Sources &amp; Uses'!$D$9/('Sources &amp; Uses'!$D$9+Assumptions!$D$33))))/('Sources &amp; Uses'!$D$9)</f>
        <v/>
      </c>
      <c r="G34" s="70">
        <f>(((((Assumptions!$D$6*(1+G$31)^Assumptions!$D$36)*$B34)*(1-Assumptions!$D$38)-'Debt Schedule'!I20+'Debt Schedule'!I25)*('Sources &amp; Uses'!$D$9/('Sources &amp; Uses'!$D$9+Assumptions!$D$33))))/('Sources &amp; Uses'!$D$9)</f>
        <v/>
      </c>
    </row>
    <row r="35">
      <c r="B35" s="67" t="n">
        <v>11</v>
      </c>
      <c r="C35" s="70">
        <f>(((((Assumptions!$D$6*(1+C$31)^Assumptions!$D$36)*$B35)*(1-Assumptions!$D$38)-'Debt Schedule'!I20+'Debt Schedule'!I25)*('Sources &amp; Uses'!$D$9/('Sources &amp; Uses'!$D$9+Assumptions!$D$33))))/('Sources &amp; Uses'!$D$9)</f>
        <v/>
      </c>
      <c r="D35" s="70">
        <f>(((((Assumptions!$D$6*(1+D$31)^Assumptions!$D$36)*$B35)*(1-Assumptions!$D$38)-'Debt Schedule'!I20+'Debt Schedule'!I25)*('Sources &amp; Uses'!$D$9/('Sources &amp; Uses'!$D$9+Assumptions!$D$33))))/('Sources &amp; Uses'!$D$9)</f>
        <v/>
      </c>
      <c r="E35" s="70">
        <f>(((((Assumptions!$D$6*(1+E$31)^Assumptions!$D$36)*$B35)*(1-Assumptions!$D$38)-'Debt Schedule'!I20+'Debt Schedule'!I25)*('Sources &amp; Uses'!$D$9/('Sources &amp; Uses'!$D$9+Assumptions!$D$33))))/('Sources &amp; Uses'!$D$9)</f>
        <v/>
      </c>
      <c r="F35" s="70">
        <f>(((((Assumptions!$D$6*(1+F$31)^Assumptions!$D$36)*$B35)*(1-Assumptions!$D$38)-'Debt Schedule'!I20+'Debt Schedule'!I25)*('Sources &amp; Uses'!$D$9/('Sources &amp; Uses'!$D$9+Assumptions!$D$33))))/('Sources &amp; Uses'!$D$9)</f>
        <v/>
      </c>
      <c r="G35" s="70">
        <f>(((((Assumptions!$D$6*(1+G$31)^Assumptions!$D$36)*$B35)*(1-Assumptions!$D$38)-'Debt Schedule'!I20+'Debt Schedule'!I25)*('Sources &amp; Uses'!$D$9/('Sources &amp; Uses'!$D$9+Assumptions!$D$33))))/('Sources &amp; Uses'!$D$9)</f>
        <v/>
      </c>
    </row>
    <row r="36">
      <c r="B36" s="12" t="inlineStr">
        <is>
          <t>Same construction as Table B, expressed as MOIC rather than IRR.</t>
        </is>
      </c>
    </row>
    <row r="39">
      <c r="B39" s="12" t="inlineStr">
        <is>
          <t>Methodology: these grids use closed-form algebra (not Excel's native What-If Data Table) so every cell is a transparent,</t>
        </is>
      </c>
    </row>
    <row r="40">
      <c r="B40" s="12" t="inlineStr">
        <is>
          <t>auditable formula. Simplifying assumptions used to keep each grid two-dimensional are documented on 'Sources &amp; Methodology'.</t>
        </is>
      </c>
    </row>
  </sheetData>
  <mergeCells count="6">
    <mergeCell ref="B21:F21"/>
    <mergeCell ref="A2:H2"/>
    <mergeCell ref="B4:G4"/>
    <mergeCell ref="B13:G13"/>
    <mergeCell ref="A1:H1"/>
    <mergeCell ref="B30:G30"/>
  </mergeCells>
  <conditionalFormatting sqref="C6:G10">
    <cfRule type="colorScale" priority="1">
      <colorScale>
        <cfvo type="min"/>
        <cfvo type="percentile" val="50"/>
        <cfvo type="max"/>
        <color rgb="00F8D7D7"/>
        <color rgb="00FFF6D6"/>
        <color rgb="00D9F0DD"/>
      </colorScale>
    </cfRule>
  </conditionalFormatting>
  <conditionalFormatting sqref="C15:G18">
    <cfRule type="colorScale" priority="2">
      <colorScale>
        <cfvo type="min"/>
        <cfvo type="percentile" val="50"/>
        <cfvo type="max"/>
        <color rgb="00F8D7D7"/>
        <color rgb="00FFF6D6"/>
        <color rgb="00D9F0DD"/>
      </colorScale>
    </cfRule>
  </conditionalFormatting>
  <conditionalFormatting sqref="C23:F27">
    <cfRule type="colorScale" priority="3">
      <colorScale>
        <cfvo type="min"/>
        <cfvo type="percentile" val="50"/>
        <cfvo type="max"/>
        <color rgb="00F8D7D7"/>
        <color rgb="00FFF6D6"/>
        <color rgb="00D9F0DD"/>
      </colorScale>
    </cfRule>
  </conditionalFormatting>
  <conditionalFormatting sqref="C32:G35">
    <cfRule type="colorScale" priority="4">
      <colorScale>
        <cfvo type="min"/>
        <cfvo type="percentile" val="50"/>
        <cfvo type="max"/>
        <color rgb="00F8D7D7"/>
        <color rgb="00FFF6D6"/>
        <color rgb="00D9F0DD"/>
      </colorScale>
    </cfRule>
  </conditionalFormatting>
  <printOptions horizontalCentered="0"/>
  <pageMargins left="0.75" right="0.75" top="1" bottom="1" header="0.5" footer="0.5"/>
  <pageSetup orientation="landscape" fitToHeight="0" fitToWidth="1"/>
</worksheet>
</file>

<file path=xl/worksheets/sheet10.xml><?xml version="1.0" encoding="utf-8"?>
<worksheet xmlns="http://schemas.openxmlformats.org/spreadsheetml/2006/main">
  <sheetPr>
    <tabColor rgb="008A6D00"/>
    <outlinePr summaryBelow="1" summaryRight="1"/>
    <pageSetUpPr fitToPage="1"/>
  </sheetPr>
  <dimension ref="A1:H20"/>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30" customWidth="1" min="2" max="2"/>
    <col width="16" customWidth="1" min="3" max="3"/>
    <col width="18" customWidth="1" min="4" max="4"/>
    <col width="16" customWidth="1" min="5" max="5"/>
    <col width="14" customWidth="1" min="6" max="6"/>
    <col width="13" customWidth="1" min="7" max="7"/>
    <col width="30" customWidth="1" min="8" max="8"/>
  </cols>
  <sheetData>
    <row r="1" ht="30" customHeight="1">
      <c r="A1" s="13" t="inlineStr">
        <is>
          <t>SCENARIO ANALYSIS</t>
        </is>
      </c>
    </row>
    <row r="2" ht="16" customHeight="1">
      <c r="A2" s="14" t="inlineStr">
        <is>
          <t>Select a scenario below to flex key assumptions and watch the entire model recalculate.</t>
        </is>
      </c>
    </row>
    <row r="4" ht="18" customHeight="1">
      <c r="B4" s="15" t="inlineStr">
        <is>
          <t>Scenario Selector</t>
        </is>
      </c>
    </row>
    <row r="5">
      <c r="B5" s="8" t="inlineStr">
        <is>
          <t>Active Scenario</t>
        </is>
      </c>
      <c r="D5" s="29" t="inlineStr">
        <is>
          <t>Base</t>
        </is>
      </c>
    </row>
    <row r="6">
      <c r="B6" s="16" t="inlineStr">
        <is>
          <t>↳ Revenue Growth Rate (p.a.)</t>
        </is>
      </c>
      <c r="D6" s="30">
        <f>INDEX($C$14:$C$16,MATCH($D$5,$B$14:$B$16,0))</f>
        <v/>
      </c>
    </row>
    <row r="7">
      <c r="B7" s="16" t="inlineStr">
        <is>
          <t>↳ EBITDA Margin Expansion (bps/yr)</t>
        </is>
      </c>
      <c r="D7" s="31">
        <f>INDEX($D$14:$D$16,MATCH($D$5,$B$14:$B$16,0))</f>
        <v/>
      </c>
    </row>
    <row r="8">
      <c r="B8" s="16" t="inlineStr">
        <is>
          <t>↳ Exit EV / EBITDA Multiple</t>
        </is>
      </c>
      <c r="D8" s="32">
        <f>INDEX($E$14:$E$16,MATCH($D$5,$B$14:$B$16,0))</f>
        <v/>
      </c>
    </row>
    <row r="9">
      <c r="B9" s="16" t="inlineStr">
        <is>
          <t>↳ Senior Term Loan Rate</t>
        </is>
      </c>
      <c r="D9" s="30">
        <f>INDEX($F$14:$F$16,MATCH($D$5,$B$14:$B$16,0))</f>
        <v/>
      </c>
    </row>
    <row r="10">
      <c r="B10" s="16" t="inlineStr">
        <is>
          <t>↳ Subordinated Notes Rate</t>
        </is>
      </c>
      <c r="D10" s="30">
        <f>INDEX($G$14:$G$16,MATCH($D$5,$B$14:$B$16,0))</f>
        <v/>
      </c>
    </row>
    <row r="12" ht="18" customHeight="1">
      <c r="B12" s="15" t="inlineStr">
        <is>
          <t>Scenario Assumption Table (edit these cells to redefine each case)</t>
        </is>
      </c>
    </row>
    <row r="13" ht="30" customHeight="1">
      <c r="B13" s="33" t="inlineStr">
        <is>
          <t>Scenario</t>
        </is>
      </c>
      <c r="C13" s="33" t="inlineStr">
        <is>
          <t>Revenue Growth</t>
        </is>
      </c>
      <c r="D13" s="33" t="inlineStr">
        <is>
          <t>Margin Expansion (bps)</t>
        </is>
      </c>
      <c r="E13" s="33" t="inlineStr">
        <is>
          <t>Exit Multiple</t>
        </is>
      </c>
      <c r="F13" s="33" t="inlineStr">
        <is>
          <t>Senior Rate</t>
        </is>
      </c>
      <c r="G13" s="33" t="inlineStr">
        <is>
          <t>Sub Rate</t>
        </is>
      </c>
      <c r="H13" s="33" t="inlineStr">
        <is>
          <t>Narrative</t>
        </is>
      </c>
    </row>
    <row r="14">
      <c r="B14" s="34" t="inlineStr">
        <is>
          <t>Base</t>
        </is>
      </c>
      <c r="C14" s="35" t="n">
        <v>0.05</v>
      </c>
      <c r="D14" s="36" t="n">
        <v>20</v>
      </c>
      <c r="E14" s="37" t="n">
        <v>10</v>
      </c>
      <c r="F14" s="35" t="n">
        <v>0.08500000000000001</v>
      </c>
      <c r="G14" s="35" t="n">
        <v>0.11</v>
      </c>
      <c r="H14" s="38" t="inlineStr">
        <is>
          <t>Management-case organic growth; no multiple expansion at exit.</t>
        </is>
      </c>
    </row>
    <row r="15">
      <c r="B15" s="34" t="inlineStr">
        <is>
          <t>Upside</t>
        </is>
      </c>
      <c r="C15" s="35" t="n">
        <v>0.08</v>
      </c>
      <c r="D15" s="36" t="n">
        <v>35</v>
      </c>
      <c r="E15" s="37" t="n">
        <v>11</v>
      </c>
      <c r="F15" s="35" t="n">
        <v>0.08</v>
      </c>
      <c r="G15" s="35" t="n">
        <v>0.105</v>
      </c>
      <c r="H15" s="38" t="inlineStr">
        <is>
          <t>Faster growth, margin gains from operational improvements, modest multiple expansion, cheaper debt in a stronger credit market.</t>
        </is>
      </c>
    </row>
    <row r="16">
      <c r="B16" s="34" t="inlineStr">
        <is>
          <t>Downside</t>
        </is>
      </c>
      <c r="C16" s="35" t="n">
        <v>0.02</v>
      </c>
      <c r="D16" s="36" t="n">
        <v>0</v>
      </c>
      <c r="E16" s="37" t="n">
        <v>8.5</v>
      </c>
      <c r="F16" s="35" t="n">
        <v>0.095</v>
      </c>
      <c r="G16" s="35" t="n">
        <v>0.125</v>
      </c>
      <c r="H16" s="38" t="inlineStr">
        <is>
          <t>Slower growth, no margin gains, multiple contraction at exit, wider credit spreads.</t>
        </is>
      </c>
    </row>
    <row r="19">
      <c r="B19" s="12" t="inlineStr">
        <is>
          <t>Changing the Active Scenario cell above flows through Assumptions → Operating Model → Debt Schedule →</t>
        </is>
      </c>
    </row>
    <row r="20">
      <c r="B20" s="12" t="inlineStr">
        <is>
          <t>Exit Analysis → Investor Returns automatically. Try switching from Base to Downside and watch the Executive Summary IRR/MOIC update.</t>
        </is>
      </c>
    </row>
  </sheetData>
  <mergeCells count="4">
    <mergeCell ref="B4:E4"/>
    <mergeCell ref="A2:H2"/>
    <mergeCell ref="B12:H12"/>
    <mergeCell ref="A1:H1"/>
  </mergeCells>
  <dataValidations count="1">
    <dataValidation sqref="D5" showDropDown="0" showInputMessage="0" showErrorMessage="0" allowBlank="0" error="Please choose Base, Upside, or Downside." prompt="Choose a scenario" type="list">
      <formula1>"Base,Upside,Downside"</formula1>
    </dataValidation>
  </dataValidations>
  <printOptions horizontalCentered="0"/>
  <pageMargins left="0.75" right="0.75" top="1" bottom="1" header="0.5" footer="0.5"/>
  <pageSetup orientation="landscape" fitToHeight="0" fitToWidth="1"/>
</worksheet>
</file>

<file path=xl/worksheets/sheet11.xml><?xml version="1.0" encoding="utf-8"?>
<worksheet xmlns="http://schemas.openxmlformats.org/spreadsheetml/2006/main">
  <sheetPr>
    <tabColor rgb="001E7145"/>
    <outlinePr summaryBelow="1" summaryRight="1"/>
    <pageSetUpPr fitToPage="1"/>
  </sheetPr>
  <dimension ref="A1:F29"/>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52" customWidth="1" min="2" max="2"/>
    <col width="2" customWidth="1" min="3" max="3"/>
    <col width="16" customWidth="1" min="4" max="4"/>
    <col width="12" customWidth="1" min="5" max="5"/>
    <col width="38" customWidth="1" min="6" max="6"/>
  </cols>
  <sheetData>
    <row r="1" ht="30" customHeight="1">
      <c r="A1" s="13" t="inlineStr">
        <is>
          <t>MODEL CHECKS</t>
        </is>
      </c>
    </row>
    <row r="2" ht="16" customHeight="1">
      <c r="A2" s="14" t="inlineStr">
        <is>
          <t>Automated integrity checks — every check below should read PASS</t>
        </is>
      </c>
    </row>
    <row r="4" ht="18" customHeight="1">
      <c r="B4" s="15" t="inlineStr">
        <is>
          <t>Integrity Checks</t>
        </is>
      </c>
    </row>
    <row r="5">
      <c r="B5" s="81" t="inlineStr">
        <is>
          <t>Check</t>
        </is>
      </c>
      <c r="D5" s="81" t="inlineStr">
        <is>
          <t>Value</t>
        </is>
      </c>
      <c r="E5" s="81" t="inlineStr">
        <is>
          <t>Status</t>
        </is>
      </c>
      <c r="F5" s="81" t="inlineStr">
        <is>
          <t>Notes</t>
        </is>
      </c>
    </row>
    <row r="6">
      <c r="B6" s="7" t="inlineStr">
        <is>
          <t>Sources = Uses at Close</t>
        </is>
      </c>
      <c r="D6" s="82">
        <f>'Sources &amp; Uses'!$D$11-'Sources &amp; Uses'!$I$12</f>
        <v/>
      </c>
      <c r="E6" s="83">
        <f>IF(ABS(D6)&lt;0.01,"PASS","FAIL")</f>
        <v/>
      </c>
      <c r="F6" s="12" t="inlineStr">
        <is>
          <t>Total financing sources must equal total uses of funds</t>
        </is>
      </c>
    </row>
    <row r="7">
      <c r="B7" s="7" t="inlineStr">
        <is>
          <t>Senior Term Loan balance never negative</t>
        </is>
      </c>
      <c r="D7" s="55">
        <f>MIN('Debt Schedule'!D11:I11)</f>
        <v/>
      </c>
      <c r="E7" s="83">
        <f>IF(D7&gt;=-0.005,"PASS","FAIL")</f>
        <v/>
      </c>
      <c r="F7" s="12" t="inlineStr">
        <is>
          <t>Ending balance across all years ≥ 0</t>
        </is>
      </c>
    </row>
    <row r="8">
      <c r="B8" s="7" t="inlineStr">
        <is>
          <t>Subordinated Notes balance never negative</t>
        </is>
      </c>
      <c r="D8" s="55">
        <f>MIN('Debt Schedule'!D16:I16)</f>
        <v/>
      </c>
      <c r="E8" s="83">
        <f>IF(D8&gt;=-0.005,"PASS","FAIL")</f>
        <v/>
      </c>
      <c r="F8" s="12" t="inlineStr">
        <is>
          <t>Ending balance across all years ≥ 0</t>
        </is>
      </c>
    </row>
    <row r="9">
      <c r="B9" s="7" t="inlineStr">
        <is>
          <t>Cash balance never negative</t>
        </is>
      </c>
      <c r="D9" s="55">
        <f>MIN('Debt Schedule'!D25:I25)</f>
        <v/>
      </c>
      <c r="E9" s="83">
        <f>IF(D9&gt;=-0.005,"PASS","FAIL")</f>
        <v/>
      </c>
      <c r="F9" s="12" t="inlineStr">
        <is>
          <t>Cash sweep mechanics keep cash ≥ 0 in every year</t>
        </is>
      </c>
    </row>
    <row r="10">
      <c r="B10" s="7" t="inlineStr">
        <is>
          <t>No #REF!/#DIV/0!/#VALUE!/#N/A errors — Operating Model</t>
        </is>
      </c>
      <c r="D10" s="84">
        <f>SUMPRODUCT(--ISERROR('Operating Model'!D6:I22))</f>
        <v/>
      </c>
      <c r="E10" s="83">
        <f>IF(D10=0,"PASS","FAIL")</f>
        <v/>
      </c>
      <c r="F10" s="12" t="inlineStr">
        <is>
          <t>Count of error cells (should be 0)</t>
        </is>
      </c>
    </row>
    <row r="11">
      <c r="B11" s="7" t="inlineStr">
        <is>
          <t>No formula errors — Debt Schedule</t>
        </is>
      </c>
      <c r="D11" s="84">
        <f>SUMPRODUCT(--ISERROR('Debt Schedule'!D6:I29))</f>
        <v/>
      </c>
      <c r="E11" s="83">
        <f>IF(D11=0,"PASS","FAIL")</f>
        <v/>
      </c>
      <c r="F11" s="12" t="inlineStr">
        <is>
          <t>Count of error cells (should be 0)</t>
        </is>
      </c>
    </row>
    <row r="12">
      <c r="B12" s="7" t="inlineStr">
        <is>
          <t>No formula errors — Sources &amp; Uses</t>
        </is>
      </c>
      <c r="D12" s="84">
        <f>SUMPRODUCT(--ISERROR('Sources &amp; Uses'!D6:J30))</f>
        <v/>
      </c>
      <c r="E12" s="83">
        <f>IF(D12=0,"PASS","FAIL")</f>
        <v/>
      </c>
      <c r="F12" s="12" t="inlineStr">
        <is>
          <t>Count of error cells (should be 0)</t>
        </is>
      </c>
    </row>
    <row r="13">
      <c r="B13" s="7" t="inlineStr">
        <is>
          <t>No formula errors — Exit Analysis &amp; Returns</t>
        </is>
      </c>
      <c r="D13" s="84">
        <f>SUMPRODUCT(--ISERROR('Exit Analysis'!D6:D30))+SUMPRODUCT(--ISERROR('Investor Returns'!D6:I30))</f>
        <v/>
      </c>
      <c r="E13" s="83">
        <f>IF(D13=0,"PASS","FAIL")</f>
        <v/>
      </c>
      <c r="F13" s="12" t="inlineStr">
        <is>
          <t>Count of error cells (should be 0)</t>
        </is>
      </c>
    </row>
    <row r="14">
      <c r="B14" s="7" t="inlineStr">
        <is>
          <t>No formula errors — Sensitivity Analysis</t>
        </is>
      </c>
      <c r="D14" s="84">
        <f>SUMPRODUCT(--ISERROR('Sensitivity Analysis'!C4:H60))</f>
        <v/>
      </c>
      <c r="E14" s="83">
        <f>IF(D14=0,"PASS","FAIL")</f>
        <v/>
      </c>
      <c r="F14" s="12" t="inlineStr">
        <is>
          <t>Count of error cells (should be 0)</t>
        </is>
      </c>
    </row>
    <row r="15">
      <c r="B15" s="7" t="inlineStr">
        <is>
          <t>Operating Model interest expense ties to Debt Schedule</t>
        </is>
      </c>
      <c r="D15" s="84">
        <f>SUMPRODUCT(--('Operating Model'!E13:I13&lt;&gt;'Debt Schedule'!E21:I21))</f>
        <v/>
      </c>
      <c r="E15" s="83">
        <f>IF(D15=0,"PASS","FAIL")</f>
        <v/>
      </c>
      <c r="F15" s="12" t="inlineStr">
        <is>
          <t>Both sheets must reference the same interest figures</t>
        </is>
      </c>
    </row>
    <row r="16">
      <c r="B16" s="7" t="inlineStr">
        <is>
          <t>EBITDA margin within 0%–100% every year</t>
        </is>
      </c>
      <c r="D16" s="84">
        <f>SUMPRODUCT(--(('Operating Model'!D8:I8&lt;0)+('Operating Model'!D8:I8&gt;1)))</f>
        <v/>
      </c>
      <c r="E16" s="83">
        <f>IF(D16=0,"PASS","FAIL")</f>
        <v/>
      </c>
      <c r="F16" s="12" t="inlineStr">
        <is>
          <t>Count of out-of-range margin cells</t>
        </is>
      </c>
    </row>
    <row r="17">
      <c r="B17" s="7" t="inlineStr">
        <is>
          <t>MOIC is a valid positive number</t>
        </is>
      </c>
      <c r="D17" s="85">
        <f>'Investor Returns'!$D$10</f>
        <v/>
      </c>
      <c r="E17" s="83">
        <f>IF(AND(ISNUMBER(D17),D17&gt;0),"PASS","FAIL")</f>
        <v/>
      </c>
      <c r="F17" s="12" t="inlineStr">
        <is>
          <t>MOIC should be positive and not an error</t>
        </is>
      </c>
    </row>
    <row r="18">
      <c r="B18" s="7" t="inlineStr">
        <is>
          <t>IRR is a valid, finite percentage</t>
        </is>
      </c>
      <c r="D18" s="54">
        <f>'Investor Returns'!$D$11</f>
        <v/>
      </c>
      <c r="E18" s="83">
        <f>IF(ISNUMBER(D18),"PASS","FAIL")</f>
        <v/>
      </c>
      <c r="F18" s="12" t="inlineStr">
        <is>
          <t>IRR should resolve (Excel IRR() can error on bad cash-flow signs)</t>
        </is>
      </c>
    </row>
    <row r="19">
      <c r="B19" s="7" t="inlineStr">
        <is>
          <t>Entry leverage within a typical LBO range (≤ 8.0x)</t>
        </is>
      </c>
      <c r="D19" s="58">
        <f>Assumptions!$D$30</f>
        <v/>
      </c>
      <c r="E19" s="83">
        <f>IF(D19&lt;=8,"PASS","REVIEW")</f>
        <v/>
      </c>
      <c r="F19" s="12" t="inlineStr">
        <is>
          <t>Flag (not a hard failure) if leverage looks aggressive</t>
        </is>
      </c>
    </row>
    <row r="21" ht="18" customHeight="1">
      <c r="B21" s="15" t="inlineStr">
        <is>
          <t>Overall Status</t>
        </is>
      </c>
    </row>
    <row r="22">
      <c r="B22" s="8" t="inlineStr">
        <is>
          <t>All Checks Pass?</t>
        </is>
      </c>
      <c r="E22" s="83">
        <f>IF(COUNTIF(E6:E19,"FAIL")=0,"PASS","FAIL")</f>
        <v/>
      </c>
    </row>
    <row r="24" ht="18" customHeight="1">
      <c r="B24" s="15" t="inlineStr">
        <is>
          <t>Manual QA Performed</t>
        </is>
      </c>
    </row>
    <row r="25">
      <c r="B25" s="12" t="inlineStr">
        <is>
          <t>• Verified Sources = Uses at Close (see above).</t>
        </is>
      </c>
    </row>
    <row r="26">
      <c r="B26" s="12" t="inlineStr">
        <is>
          <t>• Verified the Debt Schedule balances tie out year-over-year (beginning = prior ending) and never go negative.</t>
        </is>
      </c>
    </row>
    <row r="27">
      <c r="B27" s="12" t="inlineStr">
        <is>
          <t>• Verified IRR/MOIC are computed from an explicit sponsor cash-flow array (Investor Returns tab), not a hardcoded figure.</t>
        </is>
      </c>
    </row>
    <row r="28">
      <c r="B28" s="12" t="inlineStr">
        <is>
          <t>• Confirmed changing a key assumption (e.g., Scenario selector, Entry Multiple, Exit Multiple) flows through and changes MOIC/IRR — tested via LibreOffice recalculation across Base/Upside/Downside.</t>
        </is>
      </c>
    </row>
    <row r="29">
      <c r="B29" s="12" t="inlineStr">
        <is>
          <t>• Scanned every worksheet for #REF!/#DIV/0!/#VALUE!/#N/A using both the formula checks above and a full-workbook recalculation pass.</t>
        </is>
      </c>
    </row>
  </sheetData>
  <mergeCells count="5">
    <mergeCell ref="B4:F4"/>
    <mergeCell ref="A2:F2"/>
    <mergeCell ref="B21:F21"/>
    <mergeCell ref="B24:F24"/>
    <mergeCell ref="A1:F1"/>
  </mergeCells>
  <conditionalFormatting sqref="E6">
    <cfRule type="cellIs" priority="1" operator="equal" dxfId="1">
      <formula>"PASS"</formula>
    </cfRule>
    <cfRule type="cellIs" priority="2" operator="equal" dxfId="0">
      <formula>"FAIL"</formula>
    </cfRule>
    <cfRule type="cellIs" priority="3" operator="equal" dxfId="2">
      <formula>"REVIEW"</formula>
    </cfRule>
  </conditionalFormatting>
  <conditionalFormatting sqref="E7">
    <cfRule type="cellIs" priority="4" operator="equal" dxfId="1">
      <formula>"PASS"</formula>
    </cfRule>
    <cfRule type="cellIs" priority="5" operator="equal" dxfId="0">
      <formula>"FAIL"</formula>
    </cfRule>
    <cfRule type="cellIs" priority="6" operator="equal" dxfId="2">
      <formula>"REVIEW"</formula>
    </cfRule>
  </conditionalFormatting>
  <conditionalFormatting sqref="E8">
    <cfRule type="cellIs" priority="7" operator="equal" dxfId="1">
      <formula>"PASS"</formula>
    </cfRule>
    <cfRule type="cellIs" priority="8" operator="equal" dxfId="0">
      <formula>"FAIL"</formula>
    </cfRule>
    <cfRule type="cellIs" priority="9" operator="equal" dxfId="2">
      <formula>"REVIEW"</formula>
    </cfRule>
  </conditionalFormatting>
  <conditionalFormatting sqref="E9">
    <cfRule type="cellIs" priority="10" operator="equal" dxfId="1">
      <formula>"PASS"</formula>
    </cfRule>
    <cfRule type="cellIs" priority="11" operator="equal" dxfId="0">
      <formula>"FAIL"</formula>
    </cfRule>
    <cfRule type="cellIs" priority="12" operator="equal" dxfId="2">
      <formula>"REVIEW"</formula>
    </cfRule>
  </conditionalFormatting>
  <conditionalFormatting sqref="E10">
    <cfRule type="cellIs" priority="13" operator="equal" dxfId="1">
      <formula>"PASS"</formula>
    </cfRule>
    <cfRule type="cellIs" priority="14" operator="equal" dxfId="0">
      <formula>"FAIL"</formula>
    </cfRule>
    <cfRule type="cellIs" priority="15" operator="equal" dxfId="2">
      <formula>"REVIEW"</formula>
    </cfRule>
  </conditionalFormatting>
  <conditionalFormatting sqref="E11">
    <cfRule type="cellIs" priority="16" operator="equal" dxfId="1">
      <formula>"PASS"</formula>
    </cfRule>
    <cfRule type="cellIs" priority="17" operator="equal" dxfId="0">
      <formula>"FAIL"</formula>
    </cfRule>
    <cfRule type="cellIs" priority="18" operator="equal" dxfId="2">
      <formula>"REVIEW"</formula>
    </cfRule>
  </conditionalFormatting>
  <conditionalFormatting sqref="E12">
    <cfRule type="cellIs" priority="19" operator="equal" dxfId="1">
      <formula>"PASS"</formula>
    </cfRule>
    <cfRule type="cellIs" priority="20" operator="equal" dxfId="0">
      <formula>"FAIL"</formula>
    </cfRule>
    <cfRule type="cellIs" priority="21" operator="equal" dxfId="2">
      <formula>"REVIEW"</formula>
    </cfRule>
  </conditionalFormatting>
  <conditionalFormatting sqref="E13">
    <cfRule type="cellIs" priority="22" operator="equal" dxfId="1">
      <formula>"PASS"</formula>
    </cfRule>
    <cfRule type="cellIs" priority="23" operator="equal" dxfId="0">
      <formula>"FAIL"</formula>
    </cfRule>
    <cfRule type="cellIs" priority="24" operator="equal" dxfId="2">
      <formula>"REVIEW"</formula>
    </cfRule>
  </conditionalFormatting>
  <conditionalFormatting sqref="E14">
    <cfRule type="cellIs" priority="25" operator="equal" dxfId="1">
      <formula>"PASS"</formula>
    </cfRule>
    <cfRule type="cellIs" priority="26" operator="equal" dxfId="0">
      <formula>"FAIL"</formula>
    </cfRule>
    <cfRule type="cellIs" priority="27" operator="equal" dxfId="2">
      <formula>"REVIEW"</formula>
    </cfRule>
  </conditionalFormatting>
  <conditionalFormatting sqref="E15">
    <cfRule type="cellIs" priority="28" operator="equal" dxfId="1">
      <formula>"PASS"</formula>
    </cfRule>
    <cfRule type="cellIs" priority="29" operator="equal" dxfId="0">
      <formula>"FAIL"</formula>
    </cfRule>
    <cfRule type="cellIs" priority="30" operator="equal" dxfId="2">
      <formula>"REVIEW"</formula>
    </cfRule>
  </conditionalFormatting>
  <conditionalFormatting sqref="E16">
    <cfRule type="cellIs" priority="31" operator="equal" dxfId="1">
      <formula>"PASS"</formula>
    </cfRule>
    <cfRule type="cellIs" priority="32" operator="equal" dxfId="0">
      <formula>"FAIL"</formula>
    </cfRule>
    <cfRule type="cellIs" priority="33" operator="equal" dxfId="2">
      <formula>"REVIEW"</formula>
    </cfRule>
  </conditionalFormatting>
  <conditionalFormatting sqref="E17">
    <cfRule type="cellIs" priority="34" operator="equal" dxfId="1">
      <formula>"PASS"</formula>
    </cfRule>
    <cfRule type="cellIs" priority="35" operator="equal" dxfId="0">
      <formula>"FAIL"</formula>
    </cfRule>
    <cfRule type="cellIs" priority="36" operator="equal" dxfId="2">
      <formula>"REVIEW"</formula>
    </cfRule>
  </conditionalFormatting>
  <conditionalFormatting sqref="E18">
    <cfRule type="cellIs" priority="37" operator="equal" dxfId="1">
      <formula>"PASS"</formula>
    </cfRule>
    <cfRule type="cellIs" priority="38" operator="equal" dxfId="0">
      <formula>"FAIL"</formula>
    </cfRule>
    <cfRule type="cellIs" priority="39" operator="equal" dxfId="2">
      <formula>"REVIEW"</formula>
    </cfRule>
  </conditionalFormatting>
  <conditionalFormatting sqref="E19">
    <cfRule type="cellIs" priority="40" operator="equal" dxfId="1">
      <formula>"PASS"</formula>
    </cfRule>
    <cfRule type="cellIs" priority="41" operator="equal" dxfId="0">
      <formula>"FAIL"</formula>
    </cfRule>
    <cfRule type="cellIs" priority="42" operator="equal" dxfId="2">
      <formula>"REVIEW"</formula>
    </cfRule>
  </conditionalFormatting>
  <conditionalFormatting sqref="E22">
    <cfRule type="cellIs" priority="43" operator="equal" dxfId="1">
      <formula>"PASS"</formula>
    </cfRule>
    <cfRule type="cellIs" priority="44" operator="equal" dxfId="0">
      <formula>"FAIL"</formula>
    </cfRule>
  </conditionalFormatting>
  <printOptions horizontalCentered="0"/>
  <pageMargins left="0.75" right="0.75" top="1" bottom="1" header="0.5" footer="0.5"/>
  <pageSetup orientation="landscape" fitToHeight="0" fitToWidth="1"/>
</worksheet>
</file>

<file path=xl/worksheets/sheet12.xml><?xml version="1.0" encoding="utf-8"?>
<worksheet xmlns="http://schemas.openxmlformats.org/spreadsheetml/2006/main">
  <sheetPr>
    <tabColor rgb="007F7F7F"/>
    <outlinePr summaryBelow="1" summaryRight="1"/>
    <pageSetUpPr fitToPage="1"/>
  </sheetPr>
  <dimension ref="A1:B33"/>
  <sheetViews>
    <sheetView showGridLines="0" workbookViewId="0">
      <pane ySplit="3" topLeftCell="A4" activePane="bottomLeft" state="frozen"/>
      <selection pane="bottomLeft" activeCell="A1" sqref="A1"/>
    </sheetView>
  </sheetViews>
  <sheetFormatPr baseColWidth="8" defaultRowHeight="15" outlineLevelCol="0"/>
  <cols>
    <col width="3" customWidth="1" min="1" max="1"/>
    <col width="100" customWidth="1" min="2" max="2"/>
  </cols>
  <sheetData>
    <row r="1" ht="30" customHeight="1">
      <c r="A1" s="13" t="inlineStr">
        <is>
          <t>SOURCES &amp; METHODOLOGY</t>
        </is>
      </c>
    </row>
    <row r="2" ht="16" customHeight="1">
      <c r="A2" s="14" t="inlineStr">
        <is>
          <t>Case-study disclosure, assumptions, definitions, limitations &amp; attribution</t>
        </is>
      </c>
    </row>
    <row r="4" ht="18" customHeight="1">
      <c r="B4" s="15" t="inlineStr">
        <is>
          <t>Case-Study Disclosure</t>
        </is>
      </c>
    </row>
    <row r="5" ht="60" customHeight="1">
      <c r="B5" s="86" t="inlineStr">
        <is>
          <t>This workbook is an independent, hypothetical case study built to demonstrate LBO / acquisition-finance modeling technique. “Summit Industrial Holdings, Inc.,” its financials, and the transaction depicted are fictional. No real company, real transaction, or real market data is represented anywhere in this model. All entry/exit multiples, growth rates, margins, and financing terms are illustrative assumptions chosen to sit within typical middle-market LBO ranges.</t>
        </is>
      </c>
    </row>
    <row r="7" ht="18" customHeight="1">
      <c r="B7" s="15" t="inlineStr">
        <is>
          <t>Original Framework &amp; Attribution</t>
        </is>
      </c>
    </row>
    <row r="8" ht="90" customHeight="1">
      <c r="B8" s="86" t="inlineStr">
        <is>
          <t>The starting point for this project was an open-source LBO model repository supplied by the project author as a structural framework (a README describing a 5-tab LBO architecture: Cover, Sources &amp; Uses, 3-Statement, Debt Schedule, and Returns). The repository as supplied did not include a working spreadsheet, code, or data file — only documentation — so this workbook is a full, independent build-out of that documented architecture, substantially extended (Executive Summary dashboard, scenario toggle, four sensitivity grids, automated model checks, and this methodology tab were not part of the original outline).</t>
        </is>
      </c>
    </row>
    <row r="10" ht="75" customHeight="1">
      <c r="B10" s="86" t="inlineStr">
        <is>
          <t>License: the original repository was distributed under the MIT License (reproduced below). This derivative workbook is likewise made available under the MIT License. The original repository's LICENSE file contained a placeholder copyright holder (“YOUR_NAME”) rather than a specific author name — reproduced as-is; replace with the appropriate attribution before public distribution if you can identify the original author, or with your own name for the independent work product represented by this rebuild.</t>
        </is>
      </c>
    </row>
    <row r="12" ht="60" customHeight="1">
      <c r="B12" s="87" t="inlineStr">
        <is>
          <t>MIT License — Copyright (c) 2025 YOUR_NAME. Permission is hereby granted, free of charge, to any person obtaining a copy of this software and associated documentation files (the “Software”), to deal in the Software without restriction, including without limitation the rights to use, copy, modify, merge, publish, distribute, sublicense, and/or sell copies of the Software, subject to including the above copyright notice in all copies. THE SOFTWARE IS PROVIDED “AS IS”, WITHOUT WARRANTY OF ANY KIND, EXPRESS OR IMPLIED.</t>
        </is>
      </c>
    </row>
    <row r="14" ht="18" customHeight="1">
      <c r="B14" s="15" t="inlineStr">
        <is>
          <t>Modeling Methodology &amp; Key Conventions</t>
        </is>
      </c>
    </row>
    <row r="15" ht="45" customHeight="1">
      <c r="B15" s="86" t="inlineStr">
        <is>
          <t>• Interest expense is calculated on beginning-of-period debt balances (rather than average or ending balances) specifically to avoid circular references. This is a standard simplifying convention in teaching-oriented and portfolio LBO models; a production model would typically use an iterative (circular-reference) or average-balance calculation.</t>
        </is>
      </c>
    </row>
    <row r="16" ht="30" customHeight="1">
      <c r="B16" s="86" t="inlineStr">
        <is>
          <t>• The cash sweep applies a fixed percentage (input on the Assumptions tab) of CFADS remaining after mandatory amortization, first to the Senior Term Loan and then, once the Senior Term Loan is fully repaid, to the Subordinated Notes.</t>
        </is>
      </c>
    </row>
    <row r="17" ht="30" customHeight="1">
      <c r="B17" s="86" t="inlineStr">
        <is>
          <t>• Cash taxes are computed as MAX(EBT,0) × tax rate — i.e., the model does not carry forward net operating losses (NOLs) or tax shields from a negative EBT year.</t>
        </is>
      </c>
    </row>
    <row r="18" ht="45" customHeight="1">
      <c r="B18" s="86" t="inlineStr">
        <is>
          <t>• MOIC and IRR are computed solely from the sponsor's own equity cash flows (invested at close, returned at exit) via Excel's native IRR() function applied to an explicit year-by-year cash-flow array on the 'Investor Returns' tab — not a hardcoded output.</t>
        </is>
      </c>
    </row>
    <row r="19" ht="60" customHeight="1">
      <c r="B19" s="86" t="inlineStr">
        <is>
          <t>• The Sensitivity Analysis tab uses closed-form formulas rather than Excel's native two-variable What-If Data Table feature. Each table therefore holds certain variables at their Base Case / current-scenario values while flexing the two stated axes — documented per-table on that tab — so that every cell remains a fully transparent, auditable formula rather than an opaque array-formula construct.</t>
        </is>
      </c>
    </row>
    <row r="20" ht="45" customHeight="1">
      <c r="B20" s="86" t="inlineStr">
        <is>
          <t>• Management rollover equity defaults to $0 in the Base Case; set the input on the Assumptions tab to a positive figure to model a rollover / co-invest structure. The Exit Analysis tab then splits exit equity proceeds pro-rata between the sponsor and rollover holders based on their respective capital at close.</t>
        </is>
      </c>
    </row>
    <row r="21" ht="15" customHeight="1">
      <c r="B21" s="86" t="inlineStr">
        <is>
          <t>• All dollar figures are in millions ($MM) unless otherwise labeled. Negative values are shown in parentheses.</t>
        </is>
      </c>
    </row>
    <row r="23" ht="18" customHeight="1">
      <c r="B23" s="15" t="inlineStr">
        <is>
          <t>Definitions</t>
        </is>
      </c>
    </row>
    <row r="24" ht="30" customHeight="1">
      <c r="B24" s="86" t="inlineStr">
        <is>
          <t>MOIC (Multiple of Invested Capital): total cash returned to the sponsor divided by total cash invested by the sponsor, ignoring the timing of cash flows. MOIC = Sponsor Proceeds ÷ Sponsor Equity Invested.</t>
        </is>
      </c>
    </row>
    <row r="25" ht="45" customHeight="1">
      <c r="B25" s="86" t="inlineStr">
        <is>
          <t>IRR (Internal Rate of Return): the annualized discount rate at which the net present value of the sponsor's cash-flow stream (equity invested at close, proceeds received at exit) equals zero. With a single investment and a single exit and no interim distributions, IRR = MOIC^(1/holding period) − 1.</t>
        </is>
      </c>
    </row>
    <row r="27" ht="18" customHeight="1">
      <c r="B27" s="15" t="inlineStr">
        <is>
          <t>Data Sources</t>
        </is>
      </c>
    </row>
    <row r="28" ht="60" customHeight="1">
      <c r="B28" s="86" t="inlineStr">
        <is>
          <t>No external company, market, or transaction data was used to build this case study. Entry multiple (10.0x), leverage (~7.0x Debt/EBITDA), and target return range (~20–25% IRR, 2.5–3.5x MOIC) were chosen to be broadly consistent with the ranges described in the original repository's README and with commonly cited middle-market LBO benchmarks; they are illustrative, not sourced from a specific real transaction, index, or dataset.</t>
        </is>
      </c>
    </row>
    <row r="30" ht="18" customHeight="1">
      <c r="B30" s="15" t="inlineStr">
        <is>
          <t>Limitations</t>
        </is>
      </c>
    </row>
    <row r="31" ht="60" customHeight="1">
      <c r="B31" s="86" t="inlineStr">
        <is>
          <t>• This is a simplified, single-entity LBO model built for demonstration purposes. It omits several features of institutional-grade models: a revolving credit facility, PIK interest, multiple debt tranches with distinct covenants, a full 3-statement balance sheet with plugs, purchase-price allocation / goodwill creation, transaction-structure tax effects, and dividend recapitalizations.</t>
        </is>
      </c>
    </row>
    <row r="32" ht="45" customHeight="1">
      <c r="B32" s="86" t="inlineStr">
        <is>
          <t>• The sensitivity grids use the simplifying assumptions documented on the Sensitivity Analysis tab (e.g., holding the debt-paydown trajectory at its Base Case dollar amount when only exit-side variables are flexed). They are directionally reliable but will not exactly match a full re-run of the 5-year debt schedule under every combination shown.</t>
        </is>
      </c>
    </row>
    <row r="33" ht="30" customHeight="1">
      <c r="B33" s="86" t="inlineStr">
        <is>
          <t>• This model and its output figures are for educational/portfolio demonstration only and do not constitute investment advice, a valuation opinion, or an offer or recommendation regarding any security or transaction.</t>
        </is>
      </c>
    </row>
  </sheetData>
  <mergeCells count="8">
    <mergeCell ref="B4"/>
    <mergeCell ref="A2:B2"/>
    <mergeCell ref="B30"/>
    <mergeCell ref="B7"/>
    <mergeCell ref="A1:B1"/>
    <mergeCell ref="B14"/>
    <mergeCell ref="B23"/>
    <mergeCell ref="B27"/>
  </mergeCells>
  <printOptions horizontalCentered="0"/>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2026-09-20T23:35:08Z</dcterms:created>
  <dcterms:modified xmlns:dcterms="http://purl.org/dc/terms/" xmlns:xsi="http://www.w3.org/2001/XMLSchema-instance" xsi:type="dcterms:W3CDTF">2026-09-20T23:35:08Z</dcterms:modified>
</cp:coreProperties>
</file>